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716" firstSheet="3"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 r:id="rId18"/>
    <externalReference r:id="rId19"/>
    <externalReference r:id="rId20"/>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6" l="1"/>
  <c r="K31" i="3" l="1"/>
  <c r="J15" i="3" l="1"/>
  <c r="G15" i="3"/>
  <c r="F15" i="3"/>
  <c r="F17" i="10" l="1"/>
  <c r="F16" i="10"/>
  <c r="F15" i="10"/>
  <c r="F14" i="10"/>
  <c r="F13" i="10"/>
  <c r="H16" i="14"/>
  <c r="H15" i="14"/>
  <c r="H14" i="14"/>
  <c r="H13" i="14"/>
  <c r="D16" i="19" l="1"/>
  <c r="D15" i="19"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55" i="2" l="1"/>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P92" i="3" s="1"/>
  <c r="C89" i="3" s="1"/>
  <c r="C92"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11" i="3"/>
  <c r="C122" i="3"/>
  <c r="C127" i="3"/>
  <c r="C128" i="3"/>
  <c r="P96" i="3"/>
  <c r="C93" i="3" s="1"/>
  <c r="C96" i="3" s="1"/>
  <c r="C90" i="3"/>
  <c r="C91" i="3"/>
  <c r="P36" i="3"/>
  <c r="C95" i="3" l="1"/>
  <c r="C115" i="3"/>
  <c r="C98" i="3"/>
  <c r="C114" i="3"/>
  <c r="C107" i="3"/>
  <c r="C102" i="3"/>
  <c r="C119" i="3"/>
  <c r="C99" i="3"/>
  <c r="C106" i="3"/>
  <c r="C94" i="3"/>
  <c r="C103" i="3"/>
  <c r="C132" i="3"/>
  <c r="C129" i="3"/>
  <c r="C131" i="3" s="1"/>
  <c r="C123" i="3"/>
  <c r="C118" i="3"/>
  <c r="C110" i="3"/>
  <c r="C130" i="3"/>
  <c r="B3" i="20"/>
  <c r="B4" i="20"/>
  <c r="K30" i="19" l="1"/>
  <c r="K35" i="19" s="1"/>
  <c r="M27" i="19"/>
  <c r="D17" i="19" s="1"/>
  <c r="H27" i="19"/>
  <c r="G27" i="19"/>
  <c r="J15" i="7" l="1"/>
  <c r="C15" i="7" s="1"/>
  <c r="J14" i="7"/>
  <c r="K19" i="6"/>
  <c r="K18" i="6"/>
  <c r="K17" i="6"/>
  <c r="K16" i="6"/>
  <c r="K15" i="6"/>
  <c r="K14" i="6"/>
  <c r="L29" i="6"/>
  <c r="L31" i="6"/>
  <c r="L32" i="6"/>
  <c r="L33" i="6"/>
  <c r="L34" i="6"/>
  <c r="L35" i="6"/>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9" i="22" l="1"/>
  <c r="C41" i="22"/>
  <c r="C37" i="22"/>
  <c r="C50" i="22"/>
  <c r="C56" i="22"/>
  <c r="C46" i="22"/>
  <c r="C52" i="22"/>
  <c r="C42" i="22"/>
  <c r="C45" i="22"/>
  <c r="C48" i="22"/>
  <c r="C38" i="22"/>
  <c r="C36" i="22"/>
  <c r="C34" i="22"/>
  <c r="C40" i="22"/>
  <c r="C60" i="22"/>
  <c r="C59" i="22"/>
  <c r="C44" i="22"/>
  <c r="C57" i="22"/>
  <c r="C43" i="22"/>
  <c r="C55" i="22"/>
  <c r="C54" i="22"/>
  <c r="C51" i="22"/>
  <c r="C47" i="22"/>
  <c r="C53" i="22"/>
  <c r="C35" i="22"/>
  <c r="C39" i="22"/>
  <c r="C58"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C14" i="7" s="1"/>
  <c r="D7" i="6"/>
  <c r="D7" i="5"/>
  <c r="D7" i="3"/>
  <c r="C33" i="3" s="1"/>
  <c r="D7" i="2"/>
  <c r="C71" i="17"/>
  <c r="B71" i="17"/>
  <c r="E71" i="17" s="1"/>
  <c r="E70" i="17"/>
  <c r="C69" i="17"/>
  <c r="B69" i="17"/>
  <c r="E69" i="17" s="1"/>
  <c r="C29" i="5" l="1"/>
  <c r="C30" i="5"/>
  <c r="C28" i="5"/>
  <c r="C31" i="5"/>
  <c r="C32" i="5"/>
  <c r="C37" i="2"/>
  <c r="C45" i="2"/>
  <c r="C53" i="2"/>
  <c r="C38" i="2"/>
  <c r="C46" i="2"/>
  <c r="C54" i="2"/>
  <c r="C39" i="2"/>
  <c r="C47" i="2"/>
  <c r="C40" i="2"/>
  <c r="C48" i="2"/>
  <c r="C36" i="2"/>
  <c r="C41" i="2"/>
  <c r="C49" i="2"/>
  <c r="C52" i="2"/>
  <c r="C42" i="2"/>
  <c r="C50" i="2"/>
  <c r="C43" i="2"/>
  <c r="C51" i="2"/>
  <c r="C44" i="2"/>
  <c r="C32" i="6"/>
  <c r="C31" i="6"/>
  <c r="C35" i="6"/>
  <c r="C34" i="6"/>
  <c r="C33" i="6"/>
  <c r="C17" i="10"/>
  <c r="C16" i="10"/>
  <c r="C15" i="10"/>
  <c r="C14" i="10"/>
  <c r="C13" i="10"/>
  <c r="C28" i="6"/>
  <c r="C29" i="6"/>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79" i="3"/>
  <c r="C70" i="3"/>
  <c r="C71" i="3"/>
  <c r="C66" i="3"/>
  <c r="C67" i="3"/>
  <c r="C76" i="3"/>
  <c r="C75" i="3"/>
  <c r="C64" i="3"/>
  <c r="C63" i="3"/>
  <c r="C60" i="3"/>
  <c r="C58" i="3"/>
  <c r="C55" i="3"/>
  <c r="C50" i="3"/>
  <c r="C52" i="3"/>
  <c r="C46" i="3"/>
  <c r="C47" i="3"/>
  <c r="C44" i="3"/>
  <c r="C43" i="3"/>
  <c r="C39" i="3"/>
  <c r="C78" i="3" l="1"/>
  <c r="C87" i="3"/>
  <c r="C38" i="3"/>
  <c r="C56"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H20" i="6" l="1"/>
  <c r="H21" i="6" s="1"/>
  <c r="H32" i="19" s="1"/>
  <c r="I21" i="6"/>
  <c r="H33" i="19" s="1"/>
  <c r="J21" i="6"/>
  <c r="H34" i="19" s="1"/>
  <c r="G19" i="5" l="1"/>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F22" i="3" s="1"/>
  <c r="G19" i="3"/>
  <c r="H18" i="3"/>
  <c r="I18" i="3"/>
  <c r="J18" i="3"/>
  <c r="J19" i="3"/>
  <c r="G18" i="3"/>
  <c r="H19" i="3"/>
  <c r="I19" i="3"/>
  <c r="G22" i="3" l="1"/>
  <c r="F31" i="19" s="1"/>
  <c r="I22" i="3"/>
  <c r="H22" i="3"/>
  <c r="J22" i="3"/>
  <c r="F34" i="19" s="1"/>
  <c r="N34" i="19" s="1"/>
  <c r="K18" i="3"/>
  <c r="K19" i="3"/>
  <c r="D40" i="19" s="1"/>
  <c r="F30" i="19"/>
  <c r="F33" i="19"/>
  <c r="N33" i="19" s="1"/>
  <c r="I21" i="3"/>
  <c r="G21" i="3"/>
  <c r="F32" i="19"/>
  <c r="N32" i="19" s="1"/>
  <c r="H21" i="3"/>
  <c r="F21" i="3"/>
  <c r="D41" i="19" l="1"/>
  <c r="K22" i="3"/>
  <c r="F35" i="19"/>
  <c r="K21" i="3"/>
  <c r="C43" i="10" l="1"/>
  <c r="J21" i="3" l="1"/>
  <c r="K25" i="22" l="1"/>
  <c r="K24" i="22"/>
  <c r="G20" i="6" l="1"/>
  <c r="G21" i="6" s="1"/>
  <c r="H31" i="19" s="1"/>
  <c r="N31" i="19" s="1"/>
  <c r="L30" i="6"/>
  <c r="C30" i="6" s="1"/>
  <c r="F20" i="6" l="1"/>
  <c r="K20" i="6" l="1"/>
  <c r="K21" i="6" s="1"/>
  <c r="F21" i="6"/>
  <c r="H30" i="19" s="1"/>
  <c r="H35" i="19" l="1"/>
  <c r="N35" i="19" s="1"/>
  <c r="N30" i="19"/>
</calcChain>
</file>

<file path=xl/sharedStrings.xml><?xml version="1.0" encoding="utf-8"?>
<sst xmlns="http://schemas.openxmlformats.org/spreadsheetml/2006/main" count="879" uniqueCount="392">
  <si>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</si>
  <si>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</si>
  <si>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</si>
  <si>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</si>
  <si>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</si>
  <si>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</si>
  <si>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</si>
  <si>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</si>
  <si>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</si>
  <si>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</si>
  <si>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</si>
  <si>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</si>
  <si>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</si>
  <si>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</si>
  <si>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</si>
  <si>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</si>
  <si>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</si>
  <si>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</si>
  <si>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</si>
  <si>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</si>
  <si>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</si>
  <si>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</si>
  <si>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</si>
  <si>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</si>
  <si>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</si>
  <si>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</si>
  <si>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</si>
  <si>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</si>
  <si>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</si>
  <si>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</si>
  <si>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</si>
  <si>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</si>
  <si>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</si>
  <si>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</si>
  <si>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</si>
  <si>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</si>
  <si>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</si>
  <si>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</si>
  <si>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</si>
  <si>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</si>
  <si>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</si>
  <si>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</si>
  <si>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</si>
  <si>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</si>
  <si>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</si>
  <si>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</si>
  <si>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</si>
  <si>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</si>
  <si>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</si>
  <si>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</si>
  <si>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</si>
  <si>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</si>
  <si>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</si>
  <si>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</si>
  <si>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</si>
  <si>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</si>
  <si>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</si>
  <si>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</si>
  <si>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</si>
  <si>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</si>
  <si>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</si>
  <si>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</si>
  <si>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</si>
  <si>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</si>
  <si>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</si>
  <si>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</si>
  <si>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</si>
  <si>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</si>
  <si>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</si>
  <si>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</si>
  <si>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</si>
  <si>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</si>
  <si>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</si>
  <si>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</si>
  <si>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</si>
  <si>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</si>
  <si>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</si>
  <si>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</si>
  <si>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</si>
  <si>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</si>
  <si>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</si>
  <si>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</si>
  <si>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</si>
  <si>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</si>
  <si>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</si>
  <si>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</si>
  <si>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</si>
  <si>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</si>
  <si>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</si>
  <si>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</si>
  <si>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</si>
  <si>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</si>
  <si>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</si>
  <si>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</si>
  <si>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</si>
  <si>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</si>
  <si>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</si>
  <si>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</si>
  <si>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</si>
  <si>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</si>
  <si>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</si>
  <si>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</si>
  <si>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</si>
  <si>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</si>
  <si>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</si>
  <si>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</si>
  <si>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</si>
  <si>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</si>
  <si>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</si>
  <si>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</si>
  <si>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</si>
  <si>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</si>
  <si>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</si>
  <si>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</si>
  <si>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</si>
  <si>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</si>
  <si>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</si>
  <si>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</si>
  <si>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</si>
  <si>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</si>
  <si>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</si>
  <si>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</si>
  <si>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</si>
  <si>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</si>
  <si>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</si>
  <si>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</si>
  <si>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</si>
  <si>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</si>
  <si>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</si>
  <si>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</si>
  <si>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</si>
  <si>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</si>
  <si>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</si>
  <si>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</si>
  <si>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</si>
  <si>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</si>
  <si>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</si>
  <si>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</si>
  <si>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</si>
  <si>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</si>
  <si>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</si>
  <si>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</si>
  <si>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</si>
  <si>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</si>
  <si>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</si>
  <si>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</si>
  <si>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</si>
  <si>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</si>
  <si>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</si>
  <si>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</si>
  <si>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</si>
  <si>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</si>
  <si>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</si>
  <si>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</si>
  <si>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</si>
  <si>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</si>
  <si>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</si>
  <si>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</si>
  <si>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</si>
  <si>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</si>
  <si>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</si>
  <si>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</si>
  <si>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</si>
  <si>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</si>
  <si>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</si>
  <si>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</si>
  <si>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</si>
  <si>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</si>
  <si>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</si>
  <si>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</si>
  <si>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</si>
  <si>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</si>
  <si>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</si>
  <si>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</si>
  <si>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</si>
  <si>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</si>
  <si>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</si>
  <si>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</si>
  <si>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</si>
  <si>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</si>
  <si>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</si>
  <si>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</si>
  <si>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</si>
  <si>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</si>
  <si>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</si>
  <si>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</si>
  <si>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</si>
  <si>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</si>
  <si>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</si>
  <si>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</si>
  <si>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</si>
  <si>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</si>
  <si>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</si>
  <si>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</si>
  <si>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</si>
  <si>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</si>
  <si>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</si>
  <si>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</si>
  <si>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</si>
  <si>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</si>
  <si>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</si>
  <si>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</si>
  <si>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</si>
  <si>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</si>
  <si>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</si>
  <si>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</si>
  <si>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</si>
  <si>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</si>
  <si>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</si>
  <si>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</si>
  <si>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</si>
  <si>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</si>
  <si>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</si>
  <si>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</si>
  <si>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</si>
  <si>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</si>
  <si>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</si>
  <si>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</si>
  <si>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</si>
  <si>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</si>
  <si>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</si>
  <si>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</si>
  <si>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</si>
  <si>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</si>
  <si>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</si>
  <si>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</si>
  <si>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</si>
  <si>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</si>
  <si>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</si>
  <si>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</si>
  <si>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</si>
  <si>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</si>
  <si>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</si>
  <si>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</si>
  <si>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</si>
  <si>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</si>
  <si>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</si>
  <si>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</si>
  <si>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</si>
  <si>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</si>
  <si>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</si>
  <si>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</si>
  <si>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</si>
  <si>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</si>
  <si>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</si>
  <si>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</si>
  <si>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</si>
  <si>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</si>
  <si>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</si>
  <si>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</si>
  <si>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</si>
  <si>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</si>
  <si>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</si>
  <si>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</si>
  <si>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</si>
  <si>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</si>
  <si>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</si>
  <si>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</si>
  <si>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</si>
  <si>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</si>
  <si>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</si>
  <si>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</si>
  <si>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</si>
  <si>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</si>
  <si>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</si>
  <si>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</si>
  <si>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</si>
  <si>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</si>
  <si>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</si>
  <si>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</si>
  <si>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</si>
  <si>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</si>
  <si>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</si>
  <si>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</si>
  <si>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</si>
  <si>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</si>
  <si>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</si>
  <si>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</si>
  <si>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</si>
  <si>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</si>
  <si>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</si>
  <si>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</si>
  <si>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</si>
  <si>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</si>
  <si>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</si>
  <si>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</si>
  <si>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</si>
  <si>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</si>
  <si>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</si>
  <si>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</si>
  <si>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</si>
  <si>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</si>
  <si>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</si>
  <si>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</si>
  <si>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</si>
  <si>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</si>
  <si>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</si>
  <si>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</si>
  <si>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</si>
  <si>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</si>
  <si>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</si>
  <si>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</si>
  <si>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</si>
  <si>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</si>
  <si>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</si>
  <si>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</si>
  <si>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</si>
  <si>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</si>
  <si>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</si>
  <si>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</si>
  <si>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</si>
  <si>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</si>
  <si>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</si>
  <si>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</si>
  <si>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</si>
  <si>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</si>
  <si>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</si>
  <si>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</si>
  <si>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</si>
  <si>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</si>
  <si>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</si>
  <si>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</si>
  <si>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2000 Embarcadero Cove, Suite 400</t>
  </si>
  <si>
    <t>Oakland</t>
  </si>
  <si>
    <t>Brenda Ng</t>
  </si>
  <si>
    <t>Senior Financial Services Specialist</t>
  </si>
  <si>
    <t>510-383-2678</t>
  </si>
  <si>
    <t>Brenda.Ng@acgov.org</t>
  </si>
  <si>
    <t>Revising preliminary FY 16/17 RER submitted on 1/2/18</t>
  </si>
  <si>
    <t>Revising preliminary FY 16/17 RER submitted on 1/2/19</t>
  </si>
  <si>
    <t>Revising preliminary FY 16/17 RER submitted on 1/2/20</t>
  </si>
  <si>
    <t>Revising preliminary FY 16/17 RER submitted on 1/2/21</t>
  </si>
  <si>
    <t>Revising preliminary FY 16/17 RER submitted on 1/2/22</t>
  </si>
  <si>
    <t>Homeless Outreach &amp; Stabilization Team</t>
  </si>
  <si>
    <t>North County Senior Homeless Program</t>
  </si>
  <si>
    <t>Support Housing for TAY</t>
  </si>
  <si>
    <t>Greater Hope Project</t>
  </si>
  <si>
    <t>Small Scale Comprehensive Forensic ACT Team</t>
  </si>
  <si>
    <t>Transition to Independence</t>
  </si>
  <si>
    <t>CHOICES for Community Living</t>
  </si>
  <si>
    <t>Transitional Behavioral Health Court ACT Team</t>
  </si>
  <si>
    <t>Housing Services</t>
  </si>
  <si>
    <t>Assisted Outpatient Treatment (AOT) Pilot</t>
  </si>
  <si>
    <t>STRIDES</t>
  </si>
  <si>
    <t>STAGES</t>
  </si>
  <si>
    <t>Mobile Integrated Assess Team for Seniors</t>
  </si>
  <si>
    <t>Crisis Response Program - Capacity for Valley and Tri-City</t>
  </si>
  <si>
    <t>MH Court Specialist Program</t>
  </si>
  <si>
    <t>Juvenile Justice Transformation of Guidance Clinic</t>
  </si>
  <si>
    <t>Multisystemic Therapy</t>
  </si>
  <si>
    <t>Crisis Stabilization Service</t>
  </si>
  <si>
    <t>Co-Occurring Disorders Program</t>
  </si>
  <si>
    <t>Residential Treatment for Co-occurring Disorders</t>
  </si>
  <si>
    <t>Low Income Health Plan Pilot</t>
  </si>
  <si>
    <t>Individual Placement Services</t>
  </si>
  <si>
    <t>Crisis Residential Services</t>
  </si>
  <si>
    <t>Behavioral Health and Developmental Disability Integration Program</t>
  </si>
  <si>
    <t>Behavioral Health - Medical Home</t>
  </si>
  <si>
    <t>In Home Outreach Team</t>
  </si>
  <si>
    <t>SAGE Case &amp; Care Management</t>
  </si>
  <si>
    <t>Older Adult Service Team</t>
  </si>
  <si>
    <t>Early Childhood (Birth-8) Mental Health Prevention</t>
  </si>
  <si>
    <t>School-Based Mental Health Consulation in Elementary &amp; Middle Schools</t>
  </si>
  <si>
    <t>Early Intervention for the Onset of First Psychosis &amp; SMI Among TAY</t>
  </si>
  <si>
    <t>Mental Health-Primary Care Integration for Older Adults at ERs</t>
  </si>
  <si>
    <t>Stigma &amp; Discrimination Reduction Campaign</t>
  </si>
  <si>
    <t>Outreach, Education &amp; Consultation for the Latino Community</t>
  </si>
  <si>
    <t>Outreach, Education &amp; Consultation for the Asian Pacific Islander Community</t>
  </si>
  <si>
    <t>Outreach, Education &amp; Consultation for the South Asian/Afghan Community</t>
  </si>
  <si>
    <t>Outreach, Education &amp; Consultation for the Native American Community</t>
  </si>
  <si>
    <t>Suicide Prevention and Trama-Informed Care</t>
  </si>
  <si>
    <t>Wellness, Recovery and Resiliency Services</t>
  </si>
  <si>
    <t>Family Education Center</t>
  </si>
  <si>
    <t>Staffing to Asian Population (ACCESS)</t>
  </si>
  <si>
    <t>Staffing to Latino Population (ACCESS)</t>
  </si>
  <si>
    <t>TAY Resource Centers</t>
  </si>
  <si>
    <t>Adult and Older Adult Peer Support</t>
  </si>
  <si>
    <t>Wellness Center</t>
  </si>
  <si>
    <t>LGBT Support Services</t>
  </si>
  <si>
    <t>Innovation Grant Programs</t>
  </si>
  <si>
    <t>Behavioral Health Management Systems</t>
  </si>
  <si>
    <t>Villa Fairmont Renovation</t>
  </si>
  <si>
    <t>Post Crisis Peer Mentorship</t>
  </si>
  <si>
    <t>Prop 47 Case Mangement Services for Re-Entry</t>
  </si>
  <si>
    <t>A Street Shelter</t>
  </si>
  <si>
    <t>Web-Based Dashboard</t>
  </si>
  <si>
    <t>Technical Assistance</t>
  </si>
  <si>
    <t>Electronic File Storage and Document Imaging</t>
  </si>
  <si>
    <t>Clinician's Gateway Interface</t>
  </si>
  <si>
    <t>County Equipment and Software Update</t>
  </si>
  <si>
    <t>Alameda County Behavioral Health (ACBH) is currently in negotiaion with the MHSOAC regarding Alameda's INN expenditures for FY 2017/2018.  There has been an administrative error and misunderstanding from previous staff and ACBH leadership regarding the INN approval process.  Current ACBH staff met with MHSOAC staff in June 2018 to discuss this issue and are waiting for the MHSOAC to take up this issue on their agenda and potentially grant Alameda retroactive approval.  The confusion and misunderstanding is due to language that was posted in regards to when AB 100 was passed and several approval controls were moved to the local level-however, previous ACBH staff misunderstood that INN funds did not move to the local level and developed a final round of Innovative grant projects under the original INN project.  All INN projects have been included in ACBH's Three Year Plans and Plan Updates.  As well as all INN final reports have been sent to the MHSOAC.</t>
  </si>
  <si>
    <t>See comment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</si>
</sst>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9">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xf numFmtId="0" fontId="20" fillId="0" borderId="0"/>
  </cellStyleXfs>
  <cellXfs count="469">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9">
    <cellStyle name="Currency" xfId="7" builtinId="4"/>
    <cellStyle name="Hyperlink" xfId="4" builtinId="8"/>
    <cellStyle name="Normal" xfId="0" builtinId="0"/>
    <cellStyle name="Normal 2" xfId="2"/>
    <cellStyle name="Normal 2 2" xfId="5"/>
    <cellStyle name="Normal 3" xfId="3"/>
    <cellStyle name="Normal 4" xfId="8"/>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104775</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HSA%20(Prop%2063)\MHSA%20Revenue%20and%20Expenditure%20Report\FY%2017-18\Workpapers\MHSA%20Distributions%20and%20Interest%20FY17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HSA%20(Prop%2063)\MHSA%20Revenue%20and%20Expenditure%20Report\FY%2016-17\Alameda%20County%20FY%202016-17%20MHSA%20RER_Submitted%2001021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HSA%20(Prop%2063)\MHSA%20Revenue%20and%20Expenditure%20Report\FY%2017-18\Workpapers\MHSA%20Expenditure%20Summary_FY1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Enclosure 1"/>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Enclosure 2 (Remit)"/>
      <sheetName val="Reverted Funds (Remit)"/>
      <sheetName val="AB 114 Plans (Remit)"/>
      <sheetName val="Difference (Remit)"/>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HSA Interest"/>
    </sheetNames>
    <sheetDataSet>
      <sheetData sheetId="0">
        <row r="21">
          <cell r="J21">
            <v>-1158676.46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CS Only"/>
      <sheetName val="Instructions"/>
      <sheetName val="1. Information"/>
      <sheetName val="2. Component Summary"/>
      <sheetName val="3. CSS"/>
      <sheetName val="4. PEI"/>
      <sheetName val="5. INN"/>
      <sheetName val="6. WET"/>
      <sheetName val="7. CFTN"/>
      <sheetName val="8. TTACB, WET RP, HP"/>
      <sheetName val="9. Adjustment (MHSA)"/>
      <sheetName val="10. Adjustment (FFP)"/>
      <sheetName val="11. Comments"/>
      <sheetName val="drop down fields"/>
      <sheetName val="E-1 CountyState2017"/>
    </sheetNames>
    <sheetDataSet>
      <sheetData sheetId="0"/>
      <sheetData sheetId="1"/>
      <sheetData sheetId="2"/>
      <sheetData sheetId="3">
        <row r="102">
          <cell r="M102">
            <v>36210951.833575882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3">
          <cell r="H63">
            <v>-243183.65970939858</v>
          </cell>
          <cell r="I63">
            <v>-45873.572607103109</v>
          </cell>
          <cell r="J63">
            <v>549780.63199349528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104775</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E21" sqref="E21"/>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7"/>
      <c r="C1" s="457"/>
      <c r="D1" s="457"/>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5" t="s">
        <v>1</v>
      </c>
      <c r="C7" s="445"/>
      <c r="D7" s="9" t="str">
        <f>IF(ISBLANK('1. Information'!D8),"",'1. Information'!D8)</f>
        <v>Alameda</v>
      </c>
      <c r="F7" s="94" t="s">
        <v>2</v>
      </c>
      <c r="G7" s="109">
        <f>IF(ISBLANK('1. Information'!D7),"",'1. Information'!D7)</f>
        <v>43524</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6" t="s">
        <v>30</v>
      </c>
      <c r="G12" s="456"/>
      <c r="H12" s="456"/>
      <c r="I12" s="456"/>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f>IF(J14&lt;&gt;0,VLOOKUP($D$7,Info_County_Code,2,FALSE),"")</f>
        <v>1</v>
      </c>
      <c r="D14" s="84" t="s">
        <v>120</v>
      </c>
      <c r="E14" s="117">
        <v>304822.14</v>
      </c>
      <c r="F14" s="126"/>
      <c r="G14" s="126"/>
      <c r="H14" s="117"/>
      <c r="I14" s="312"/>
      <c r="J14" s="316">
        <f>SUM(E14:I14)</f>
        <v>304822.14</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10" zoomScale="70" zoomScaleNormal="70" workbookViewId="0">
      <selection activeCell="F15" sqref="F15"/>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5" t="s">
        <v>1</v>
      </c>
      <c r="C7" s="445"/>
      <c r="D7" s="9" t="str">
        <f>IF(ISBLANK('1. Information'!D8),"",'1. Information'!D8)</f>
        <v>Alameda</v>
      </c>
      <c r="E7" s="3"/>
      <c r="F7" s="97" t="s">
        <v>178</v>
      </c>
      <c r="G7" s="109">
        <f>IF(ISBLANK('1. Information'!D7),"",'1. Information'!D7)</f>
        <v>43524</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30" x14ac:dyDescent="0.2">
      <c r="B13" s="101">
        <v>1</v>
      </c>
      <c r="C13" s="132">
        <f t="shared" ref="C13:C42" si="0">IF(F13&lt;&gt;0,VLOOKUP($D$7,Info_County_Code,2,FALSE),"")</f>
        <v>1</v>
      </c>
      <c r="D13" s="149" t="s">
        <v>34</v>
      </c>
      <c r="E13" s="337" t="s">
        <v>290</v>
      </c>
      <c r="F13" s="336">
        <f>-36618752.76+35859033.14</f>
        <v>-759719.61999999732</v>
      </c>
      <c r="G13" s="364" t="s">
        <v>328</v>
      </c>
    </row>
    <row r="14" spans="2:7" ht="30" x14ac:dyDescent="0.2">
      <c r="B14" s="101">
        <v>2</v>
      </c>
      <c r="C14" s="132">
        <f t="shared" si="0"/>
        <v>1</v>
      </c>
      <c r="D14" s="149" t="s">
        <v>35</v>
      </c>
      <c r="E14" s="133" t="s">
        <v>290</v>
      </c>
      <c r="F14" s="150">
        <f>-19446597.01+19058089.65</f>
        <v>-388507.36000000313</v>
      </c>
      <c r="G14" s="364" t="s">
        <v>329</v>
      </c>
    </row>
    <row r="15" spans="2:7" ht="30" x14ac:dyDescent="0.2">
      <c r="B15" s="101">
        <v>3</v>
      </c>
      <c r="C15" s="132">
        <f t="shared" si="0"/>
        <v>1</v>
      </c>
      <c r="D15" s="149" t="s">
        <v>36</v>
      </c>
      <c r="E15" s="133" t="s">
        <v>290</v>
      </c>
      <c r="F15" s="150">
        <f>-1493564.15+1695287.63</f>
        <v>201723.47999999998</v>
      </c>
      <c r="G15" s="364" t="s">
        <v>330</v>
      </c>
    </row>
    <row r="16" spans="2:7" ht="30" x14ac:dyDescent="0.2">
      <c r="B16" s="101">
        <v>4</v>
      </c>
      <c r="C16" s="132">
        <f t="shared" si="0"/>
        <v>1</v>
      </c>
      <c r="D16" s="149" t="s">
        <v>37</v>
      </c>
      <c r="E16" s="133" t="s">
        <v>290</v>
      </c>
      <c r="F16" s="150">
        <f>-1545590.6+1518237.1</f>
        <v>-27353.5</v>
      </c>
      <c r="G16" s="364" t="s">
        <v>331</v>
      </c>
    </row>
    <row r="17" spans="2:7" ht="30" x14ac:dyDescent="0.2">
      <c r="B17" s="101">
        <v>5</v>
      </c>
      <c r="C17" s="132">
        <f t="shared" si="0"/>
        <v>1</v>
      </c>
      <c r="D17" s="149" t="s">
        <v>38</v>
      </c>
      <c r="E17" s="133" t="s">
        <v>290</v>
      </c>
      <c r="F17" s="152">
        <f>-2287331.41+2268153.12</f>
        <v>-19178.290000000037</v>
      </c>
      <c r="G17" s="364" t="s">
        <v>332</v>
      </c>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H16" sqref="H1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7"/>
      <c r="C1" s="457"/>
      <c r="D1" s="457"/>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5" t="s">
        <v>1</v>
      </c>
      <c r="C7" s="445"/>
      <c r="D7" s="9" t="str">
        <f>IF(ISBLANK('1. Information'!D8),"",'1. Information'!D8)</f>
        <v>Alameda</v>
      </c>
      <c r="F7" s="94" t="s">
        <v>2</v>
      </c>
      <c r="G7" s="38">
        <f>IF(ISBLANK('1. Information'!D7),"",'1. Information'!D7)</f>
        <v>43524</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f t="shared" ref="C13:C52" si="0">IF(I13&lt;&gt;0,VLOOKUP($D$7,Info_County_Code,2,FALSE),"")</f>
        <v>1</v>
      </c>
      <c r="D13" s="379" t="s">
        <v>290</v>
      </c>
      <c r="E13" s="149" t="s">
        <v>182</v>
      </c>
      <c r="F13" s="390" t="s">
        <v>34</v>
      </c>
      <c r="G13" s="92">
        <v>11932152.66</v>
      </c>
      <c r="H13" s="92">
        <f>12094346-G13</f>
        <v>162193.33999999985</v>
      </c>
      <c r="I13" s="91">
        <f>SUM(G13:H13)</f>
        <v>12094346</v>
      </c>
    </row>
    <row r="14" spans="2:9" x14ac:dyDescent="0.2">
      <c r="B14" s="101">
        <v>2</v>
      </c>
      <c r="C14" s="132">
        <f t="shared" si="0"/>
        <v>1</v>
      </c>
      <c r="D14" s="379" t="s">
        <v>290</v>
      </c>
      <c r="E14" s="149" t="s">
        <v>182</v>
      </c>
      <c r="F14" s="390" t="s">
        <v>35</v>
      </c>
      <c r="G14" s="92">
        <v>4643599.59</v>
      </c>
      <c r="H14" s="92">
        <f>4470989-G14</f>
        <v>-172610.58999999985</v>
      </c>
      <c r="I14" s="91">
        <f t="shared" ref="I14:I52" si="1">SUM(G14:H14)</f>
        <v>4470989</v>
      </c>
    </row>
    <row r="15" spans="2:9" x14ac:dyDescent="0.2">
      <c r="B15" s="101">
        <v>3</v>
      </c>
      <c r="C15" s="132">
        <f t="shared" si="0"/>
        <v>1</v>
      </c>
      <c r="D15" s="379" t="s">
        <v>290</v>
      </c>
      <c r="E15" s="149" t="s">
        <v>182</v>
      </c>
      <c r="F15" s="390" t="s">
        <v>36</v>
      </c>
      <c r="G15" s="92">
        <v>74418.19</v>
      </c>
      <c r="H15" s="92">
        <f>73762-G15</f>
        <v>-656.19000000000233</v>
      </c>
      <c r="I15" s="91">
        <f t="shared" si="1"/>
        <v>73762</v>
      </c>
    </row>
    <row r="16" spans="2:9" x14ac:dyDescent="0.2">
      <c r="B16" s="101">
        <v>4</v>
      </c>
      <c r="C16" s="132">
        <f t="shared" si="0"/>
        <v>1</v>
      </c>
      <c r="D16" s="379" t="s">
        <v>290</v>
      </c>
      <c r="E16" s="149" t="s">
        <v>182</v>
      </c>
      <c r="F16" s="390" t="s">
        <v>37</v>
      </c>
      <c r="G16" s="92">
        <v>269839.92</v>
      </c>
      <c r="H16" s="92">
        <f>269477-G16</f>
        <v>-362.9199999999837</v>
      </c>
      <c r="I16" s="91">
        <f t="shared" si="1"/>
        <v>269477</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10" sqref="C10"/>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129.75" customHeight="1" x14ac:dyDescent="0.2">
      <c r="B8" s="248">
        <v>1</v>
      </c>
      <c r="C8" s="253" t="s">
        <v>390</v>
      </c>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5" t="s">
        <v>169</v>
      </c>
      <c r="B1" s="466"/>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8" t="s">
        <v>198</v>
      </c>
      <c r="B2" s="468"/>
      <c r="C2" s="468"/>
      <c r="D2" s="468"/>
      <c r="E2" s="468"/>
    </row>
    <row r="3" spans="1:7" ht="14.25" customHeight="1" x14ac:dyDescent="0.25">
      <c r="A3" s="468" t="s">
        <v>307</v>
      </c>
      <c r="B3" s="468"/>
      <c r="C3" s="468"/>
      <c r="D3" s="468"/>
      <c r="E3" s="468"/>
    </row>
    <row r="4" spans="1:7" ht="14.25" customHeight="1" thickBot="1" x14ac:dyDescent="0.3">
      <c r="A4" s="173"/>
      <c r="B4" s="174"/>
      <c r="C4" s="175"/>
      <c r="D4" s="176"/>
    </row>
    <row r="5" spans="1:7" ht="14.25" customHeight="1" x14ac:dyDescent="0.25">
      <c r="A5" s="177" t="s">
        <v>199</v>
      </c>
      <c r="B5" s="467" t="s">
        <v>200</v>
      </c>
      <c r="C5" s="467"/>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C19" sqref="C19"/>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6" t="s">
        <v>280</v>
      </c>
      <c r="C7" s="424"/>
      <c r="F7" s="224"/>
    </row>
    <row r="8" spans="1:7" ht="55.5" customHeight="1" x14ac:dyDescent="0.2">
      <c r="B8" s="427" t="s">
        <v>281</v>
      </c>
      <c r="C8" s="428"/>
      <c r="F8" s="222"/>
      <c r="G8" s="224"/>
    </row>
    <row r="9" spans="1:7" ht="39.950000000000003" customHeight="1" x14ac:dyDescent="0.2">
      <c r="B9" s="427" t="s">
        <v>279</v>
      </c>
      <c r="C9" s="428"/>
      <c r="E9" s="222"/>
      <c r="F9" s="223"/>
    </row>
    <row r="10" spans="1:7" ht="39.950000000000003" customHeight="1" x14ac:dyDescent="0.2">
      <c r="B10" s="428" t="s">
        <v>264</v>
      </c>
      <c r="C10" s="428"/>
      <c r="D10" s="221"/>
    </row>
    <row r="11" spans="1:7" x14ac:dyDescent="0.2"/>
    <row r="12" spans="1:7" ht="29.25" customHeight="1" x14ac:dyDescent="0.2">
      <c r="B12" s="424" t="s">
        <v>266</v>
      </c>
      <c r="C12" s="425" t="s">
        <v>272</v>
      </c>
    </row>
    <row r="13" spans="1:7" ht="18" customHeight="1" x14ac:dyDescent="0.2">
      <c r="B13" s="424"/>
      <c r="C13" s="424"/>
    </row>
    <row r="14" spans="1:7" ht="60.75" customHeight="1" x14ac:dyDescent="0.2">
      <c r="B14" s="421" t="s">
        <v>267</v>
      </c>
      <c r="C14" s="381" t="s">
        <v>311</v>
      </c>
    </row>
    <row r="15" spans="1:7" ht="68.25" customHeight="1" x14ac:dyDescent="0.2">
      <c r="B15" s="422"/>
      <c r="C15" s="382" t="s">
        <v>321</v>
      </c>
    </row>
    <row r="16" spans="1:7" ht="66" customHeight="1" x14ac:dyDescent="0.2">
      <c r="B16" s="423"/>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12" sqref="D12"/>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43524</v>
      </c>
    </row>
    <row r="8" spans="1:5" ht="34.5" customHeight="1" x14ac:dyDescent="0.2">
      <c r="A8" s="99"/>
      <c r="B8" s="130">
        <v>2</v>
      </c>
      <c r="C8" s="102" t="s">
        <v>1</v>
      </c>
      <c r="D8" s="365" t="s">
        <v>43</v>
      </c>
    </row>
    <row r="9" spans="1:5" ht="34.5" customHeight="1" x14ac:dyDescent="0.2">
      <c r="A9" s="99"/>
      <c r="B9" s="130">
        <v>3</v>
      </c>
      <c r="C9" s="103" t="s">
        <v>125</v>
      </c>
      <c r="D9" s="104">
        <f>IF(ISBLANK(D8),"",VLOOKUP(D8,Info_County_Code,2))</f>
        <v>1</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94606</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327</v>
      </c>
    </row>
    <row r="17" spans="1:4" ht="34.5" customHeight="1" x14ac:dyDescent="0.2">
      <c r="A17" s="99"/>
      <c r="B17" s="130">
        <v>11</v>
      </c>
      <c r="C17" s="102" t="s">
        <v>194</v>
      </c>
      <c r="D17" s="420" t="s">
        <v>326</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70" zoomScaleNormal="70" zoomScaleSheetLayoutView="40" workbookViewId="0">
      <pane xSplit="3" ySplit="20" topLeftCell="D30" activePane="bottomRight" state="frozen"/>
      <selection activeCell="F17" sqref="F17"/>
      <selection pane="topRight" activeCell="F17" sqref="F17"/>
      <selection pane="bottomLeft" activeCell="F17" sqref="F17"/>
      <selection pane="bottomRight" activeCell="L6" sqref="L6"/>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Alameda</v>
      </c>
      <c r="F7" s="360" t="s">
        <v>2</v>
      </c>
      <c r="G7" s="259">
        <f>IF(ISBLANK('1. Information'!D7),"",'1. Information'!D7)</f>
        <v>43524</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f>-'[3]MHSA Interest'!$J$21</f>
        <v>1158676.46</v>
      </c>
      <c r="E15" s="260"/>
      <c r="F15" s="260"/>
      <c r="G15" s="90"/>
      <c r="H15" s="260"/>
      <c r="I15" s="260"/>
      <c r="J15" s="260"/>
      <c r="K15" s="260"/>
      <c r="L15" s="260"/>
      <c r="M15" s="260"/>
      <c r="N15" s="260"/>
    </row>
    <row r="16" spans="2:14" x14ac:dyDescent="0.25">
      <c r="B16" s="24">
        <v>2</v>
      </c>
      <c r="C16" s="332" t="s">
        <v>306</v>
      </c>
      <c r="D16" s="394">
        <f>'[4]2. Component Summary'!$M$102</f>
        <v>36210951.833575882</v>
      </c>
      <c r="E16" s="260"/>
      <c r="F16" s="260"/>
      <c r="G16" s="90"/>
      <c r="H16" s="260"/>
      <c r="I16" s="260"/>
      <c r="J16" s="260"/>
      <c r="K16" s="260"/>
      <c r="L16" s="260"/>
      <c r="M16" s="260"/>
      <c r="N16" s="260"/>
    </row>
    <row r="17" spans="2:14" x14ac:dyDescent="0.25">
      <c r="B17" s="24">
        <v>3</v>
      </c>
      <c r="C17" s="332" t="s">
        <v>312</v>
      </c>
      <c r="D17" s="91">
        <f>D16+M22+M27+SUM('9. Adjustment (MHSA)'!F83:F112)</f>
        <v>36210951.833575882</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880594.10959999997</v>
      </c>
      <c r="E23" s="380">
        <f>D15*0.19</f>
        <v>220148.52739999999</v>
      </c>
      <c r="F23" s="261">
        <f>D15*0.05</f>
        <v>57933.823000000004</v>
      </c>
      <c r="G23" s="327"/>
      <c r="H23" s="327"/>
      <c r="I23" s="327"/>
      <c r="J23" s="334"/>
      <c r="K23" s="327"/>
      <c r="L23" s="327"/>
      <c r="M23" s="327"/>
      <c r="N23" s="333">
        <f>SUM(D23:M23)</f>
        <v>1158676.46</v>
      </c>
    </row>
    <row r="24" spans="2:14" ht="24" customHeight="1" x14ac:dyDescent="0.25">
      <c r="B24" s="24">
        <v>6</v>
      </c>
      <c r="C24" s="266" t="s">
        <v>25</v>
      </c>
      <c r="D24" s="339">
        <f t="shared" ref="D24:L24" si="0">SUM(D22:D23)</f>
        <v>880594.10959999997</v>
      </c>
      <c r="E24" s="339">
        <f t="shared" si="0"/>
        <v>220148.52739999999</v>
      </c>
      <c r="F24" s="339">
        <f t="shared" si="0"/>
        <v>57933.823000000004</v>
      </c>
      <c r="G24" s="339">
        <f t="shared" si="0"/>
        <v>0</v>
      </c>
      <c r="H24" s="339">
        <f t="shared" si="0"/>
        <v>0</v>
      </c>
      <c r="I24" s="339">
        <f t="shared" si="0"/>
        <v>0</v>
      </c>
      <c r="J24" s="339">
        <f t="shared" si="0"/>
        <v>0</v>
      </c>
      <c r="K24" s="339">
        <f t="shared" si="0"/>
        <v>0</v>
      </c>
      <c r="L24" s="339">
        <f t="shared" si="0"/>
        <v>0</v>
      </c>
      <c r="M24" s="339">
        <v>0</v>
      </c>
      <c r="N24" s="371">
        <f>SUM(D24:M24)</f>
        <v>1158676.46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36113720.198861808</v>
      </c>
      <c r="E30" s="264">
        <f>'4. PEI'!F21</f>
        <v>21004088.315717187</v>
      </c>
      <c r="F30" s="264">
        <f>'5. INN'!F22</f>
        <v>2466036.1668446497</v>
      </c>
      <c r="G30" s="264">
        <f>'6. WET'!F20</f>
        <v>1854891.6324322592</v>
      </c>
      <c r="H30" s="264">
        <f>'7. CFTN'!F21</f>
        <v>2582979.3116475251</v>
      </c>
      <c r="I30" s="334"/>
      <c r="J30" s="264">
        <f>'8. WET RP, HP'!E14</f>
        <v>304822.14</v>
      </c>
      <c r="K30" s="264">
        <f>'4. PEI'!F17</f>
        <v>0</v>
      </c>
      <c r="L30" s="264">
        <f>'8. WET RP, HP'!E15</f>
        <v>0</v>
      </c>
      <c r="M30" s="334"/>
      <c r="N30" s="264">
        <f t="shared" ref="N30:N35" si="1">SUM(D30:M30)</f>
        <v>64326537.765503436</v>
      </c>
    </row>
    <row r="31" spans="2:14" ht="24" customHeight="1" x14ac:dyDescent="0.25">
      <c r="B31" s="24">
        <v>9</v>
      </c>
      <c r="C31" s="262" t="s">
        <v>5</v>
      </c>
      <c r="D31" s="261">
        <f>'3. CSS'!G25</f>
        <v>11318313.372035455</v>
      </c>
      <c r="E31" s="261">
        <f>'4. PEI'!G21</f>
        <v>4721618.6861222601</v>
      </c>
      <c r="F31" s="261">
        <f>'5. INN'!G22</f>
        <v>243183.65970939858</v>
      </c>
      <c r="G31" s="261">
        <f>'6. WET'!G20</f>
        <v>199436.22349953349</v>
      </c>
      <c r="H31" s="261">
        <f>'7. CFTN'!G21</f>
        <v>366321.28</v>
      </c>
      <c r="I31" s="7"/>
      <c r="J31" s="261">
        <f>'8. WET RP, HP'!F14</f>
        <v>0</v>
      </c>
      <c r="K31" s="261">
        <f>'4. PEI'!G17</f>
        <v>0</v>
      </c>
      <c r="L31" s="261">
        <f>'8. WET RP, HP'!F15</f>
        <v>0</v>
      </c>
      <c r="M31" s="327"/>
      <c r="N31" s="264">
        <f t="shared" si="1"/>
        <v>16848873.221366648</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3251489.2682244023</v>
      </c>
      <c r="E34" s="261">
        <f>'4. PEI'!J21</f>
        <v>1418542.6250761237</v>
      </c>
      <c r="F34" s="261">
        <f>'5. INN'!J22</f>
        <v>45873.572607103109</v>
      </c>
      <c r="G34" s="261">
        <f>'6. WET'!J20</f>
        <v>37690.596998199093</v>
      </c>
      <c r="H34" s="261">
        <f>'7. CFTN'!J21</f>
        <v>69101.95</v>
      </c>
      <c r="I34" s="7"/>
      <c r="J34" s="261">
        <f>'8. WET RP, HP'!I14</f>
        <v>0</v>
      </c>
      <c r="K34" s="261">
        <f>'4. PEI'!J17</f>
        <v>0</v>
      </c>
      <c r="L34" s="261">
        <f>'8. WET RP, HP'!I15</f>
        <v>0</v>
      </c>
      <c r="M34" s="327"/>
      <c r="N34" s="264">
        <f t="shared" si="1"/>
        <v>4822698.0129058277</v>
      </c>
    </row>
    <row r="35" spans="2:14" ht="24" customHeight="1" x14ac:dyDescent="0.25">
      <c r="B35" s="24">
        <v>13</v>
      </c>
      <c r="C35" s="266" t="s">
        <v>25</v>
      </c>
      <c r="D35" s="267">
        <f>SUM(D30:D34)</f>
        <v>50683522.83912167</v>
      </c>
      <c r="E35" s="267">
        <f t="shared" ref="E35:L35" si="2">SUM(E30:E34)</f>
        <v>27144249.62691557</v>
      </c>
      <c r="F35" s="267">
        <f t="shared" si="2"/>
        <v>2755093.3991611516</v>
      </c>
      <c r="G35" s="267">
        <f t="shared" si="2"/>
        <v>2092018.4529299918</v>
      </c>
      <c r="H35" s="267">
        <f t="shared" si="2"/>
        <v>3018402.5416475255</v>
      </c>
      <c r="I35" s="267">
        <f t="shared" si="2"/>
        <v>0</v>
      </c>
      <c r="J35" s="267">
        <f t="shared" si="2"/>
        <v>304822.14</v>
      </c>
      <c r="K35" s="267">
        <f t="shared" si="2"/>
        <v>0</v>
      </c>
      <c r="L35" s="267">
        <f t="shared" si="2"/>
        <v>0</v>
      </c>
      <c r="M35" s="7"/>
      <c r="N35" s="339">
        <f t="shared" si="1"/>
        <v>85998108.999775901</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17149818.229178715</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E19" zoomScale="70" zoomScaleNormal="70" zoomScaleSheetLayoutView="40" zoomScalePageLayoutView="70" workbookViewId="0">
      <selection activeCell="C18" sqref="C18:E19"/>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4"/>
      <c r="C1" s="444"/>
      <c r="D1" s="444"/>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5" t="s">
        <v>1</v>
      </c>
      <c r="C7" s="445"/>
      <c r="D7" s="9" t="str">
        <f>IF(ISBLANK('1. Information'!D8),"",'1. Information'!D8)</f>
        <v>Alameda</v>
      </c>
      <c r="E7" s="281"/>
      <c r="F7" s="279" t="s">
        <v>2</v>
      </c>
      <c r="G7" s="282">
        <f>IF(ISBLANK('1. Information'!D7),"",'1. Information'!D7)</f>
        <v>43524</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7" t="s">
        <v>30</v>
      </c>
      <c r="H12" s="435"/>
      <c r="I12" s="435"/>
      <c r="J12" s="438"/>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2" t="s">
        <v>7</v>
      </c>
      <c r="D14" s="442"/>
      <c r="E14" s="442"/>
      <c r="F14" s="367"/>
      <c r="G14" s="368"/>
      <c r="H14" s="353"/>
      <c r="I14" s="290"/>
      <c r="J14" s="290"/>
      <c r="K14" s="292">
        <f>SUM(F14:J14)</f>
        <v>0</v>
      </c>
      <c r="L14"/>
    </row>
    <row r="15" spans="1:12" ht="15" customHeight="1" x14ac:dyDescent="0.25">
      <c r="A15" s="281"/>
      <c r="B15" s="277">
        <v>2</v>
      </c>
      <c r="C15" s="442" t="s">
        <v>8</v>
      </c>
      <c r="D15" s="442"/>
      <c r="E15" s="442"/>
      <c r="F15" s="367"/>
      <c r="G15" s="290"/>
      <c r="H15" s="290"/>
      <c r="I15" s="290"/>
      <c r="J15" s="290"/>
      <c r="K15" s="292">
        <f t="shared" ref="K15:K23" si="0">SUM(F15:J15)</f>
        <v>0</v>
      </c>
      <c r="L15"/>
    </row>
    <row r="16" spans="1:12" x14ac:dyDescent="0.25">
      <c r="A16" s="281"/>
      <c r="B16" s="277">
        <v>3</v>
      </c>
      <c r="C16" s="442" t="s">
        <v>129</v>
      </c>
      <c r="D16" s="442"/>
      <c r="E16" s="442"/>
      <c r="F16" s="367">
        <v>5760231.8835627623</v>
      </c>
      <c r="G16" s="290">
        <v>2953056.4228199953</v>
      </c>
      <c r="H16" s="290"/>
      <c r="I16" s="290"/>
      <c r="J16" s="290">
        <v>596049.17535251693</v>
      </c>
      <c r="K16" s="292">
        <f t="shared" si="0"/>
        <v>9309337.4817352742</v>
      </c>
      <c r="L16"/>
    </row>
    <row r="17" spans="1:12" x14ac:dyDescent="0.25">
      <c r="A17" s="281"/>
      <c r="B17" s="277">
        <v>4</v>
      </c>
      <c r="C17" s="443" t="s">
        <v>218</v>
      </c>
      <c r="D17" s="443"/>
      <c r="E17" s="443"/>
      <c r="F17" s="367"/>
      <c r="G17" s="290"/>
      <c r="H17" s="290"/>
      <c r="I17" s="290"/>
      <c r="J17" s="290"/>
      <c r="K17" s="292">
        <f t="shared" si="0"/>
        <v>0</v>
      </c>
      <c r="L17"/>
    </row>
    <row r="18" spans="1:12" x14ac:dyDescent="0.25">
      <c r="A18" s="281"/>
      <c r="B18" s="277">
        <v>5</v>
      </c>
      <c r="C18" s="443" t="s">
        <v>219</v>
      </c>
      <c r="D18" s="443"/>
      <c r="E18" s="443"/>
      <c r="F18" s="367"/>
      <c r="G18" s="294"/>
      <c r="H18" s="294"/>
      <c r="I18" s="294"/>
      <c r="J18" s="294"/>
      <c r="K18" s="292">
        <f t="shared" si="0"/>
        <v>0</v>
      </c>
      <c r="L18"/>
    </row>
    <row r="19" spans="1:12" x14ac:dyDescent="0.25">
      <c r="A19" s="281"/>
      <c r="B19" s="277">
        <v>6</v>
      </c>
      <c r="C19" s="442" t="s">
        <v>216</v>
      </c>
      <c r="D19" s="442"/>
      <c r="E19" s="442"/>
      <c r="F19" s="290"/>
      <c r="G19" s="294"/>
      <c r="H19" s="294"/>
      <c r="I19" s="294"/>
      <c r="J19" s="294"/>
      <c r="K19" s="293">
        <f t="shared" si="0"/>
        <v>0</v>
      </c>
      <c r="L19"/>
    </row>
    <row r="20" spans="1:12" x14ac:dyDescent="0.25">
      <c r="A20" s="283"/>
      <c r="B20" s="256">
        <v>7</v>
      </c>
      <c r="C20" s="439" t="s">
        <v>226</v>
      </c>
      <c r="D20" s="440"/>
      <c r="E20" s="441"/>
      <c r="F20" s="290"/>
      <c r="G20" s="293"/>
      <c r="H20" s="293"/>
      <c r="I20" s="293"/>
      <c r="J20" s="293"/>
      <c r="K20" s="293">
        <f t="shared" si="0"/>
        <v>0</v>
      </c>
      <c r="L20"/>
    </row>
    <row r="21" spans="1:12" x14ac:dyDescent="0.25">
      <c r="A21" s="283"/>
      <c r="B21" s="256">
        <v>8</v>
      </c>
      <c r="C21" s="439" t="s">
        <v>227</v>
      </c>
      <c r="D21" s="440"/>
      <c r="E21" s="441"/>
      <c r="F21" s="290"/>
      <c r="G21" s="293"/>
      <c r="H21" s="293"/>
      <c r="I21" s="293"/>
      <c r="J21" s="293"/>
      <c r="K21" s="293">
        <f t="shared" si="0"/>
        <v>0</v>
      </c>
      <c r="L21"/>
    </row>
    <row r="22" spans="1:12" x14ac:dyDescent="0.25">
      <c r="A22" s="283"/>
      <c r="B22" s="256">
        <v>9</v>
      </c>
      <c r="C22" s="439" t="s">
        <v>225</v>
      </c>
      <c r="D22" s="440"/>
      <c r="E22" s="441"/>
      <c r="F22" s="290"/>
      <c r="G22" s="293"/>
      <c r="H22" s="293"/>
      <c r="I22" s="293"/>
      <c r="J22" s="293"/>
      <c r="K22" s="293">
        <f t="shared" si="0"/>
        <v>0</v>
      </c>
      <c r="L22"/>
    </row>
    <row r="23" spans="1:12" x14ac:dyDescent="0.25">
      <c r="A23" s="281"/>
      <c r="B23" s="277">
        <v>10</v>
      </c>
      <c r="C23" s="442" t="s">
        <v>140</v>
      </c>
      <c r="D23" s="442"/>
      <c r="E23" s="442"/>
      <c r="F23" s="294">
        <f>SUM(G33:G132)</f>
        <v>30353488.315299042</v>
      </c>
      <c r="G23" s="293">
        <f>SUM(H33:H132)</f>
        <v>8365256.9492154587</v>
      </c>
      <c r="H23" s="293">
        <f>SUM(I33:I132)</f>
        <v>0</v>
      </c>
      <c r="I23" s="293">
        <f>SUM(J33:J132)</f>
        <v>0</v>
      </c>
      <c r="J23" s="293">
        <f>SUM(K33:K132)</f>
        <v>2655440.0928718853</v>
      </c>
      <c r="K23" s="293">
        <f t="shared" si="0"/>
        <v>41374185.35738638</v>
      </c>
      <c r="L23"/>
    </row>
    <row r="24" spans="1:12" ht="31.15" customHeight="1" x14ac:dyDescent="0.25">
      <c r="A24" s="281"/>
      <c r="B24" s="277">
        <v>11</v>
      </c>
      <c r="C24" s="429" t="s">
        <v>223</v>
      </c>
      <c r="D24" s="430"/>
      <c r="E24" s="431"/>
      <c r="F24" s="7">
        <f>SUM(F14:F16,F18:F23)</f>
        <v>36113720.198861808</v>
      </c>
      <c r="G24" s="7">
        <f>SUM(G14:G16,G18:G23)</f>
        <v>11318313.372035455</v>
      </c>
      <c r="H24" s="43">
        <f t="shared" ref="H24:J24" si="1">SUM(H14:H16,H18:H23)</f>
        <v>0</v>
      </c>
      <c r="I24" s="7">
        <f t="shared" si="1"/>
        <v>0</v>
      </c>
      <c r="J24" s="7">
        <f t="shared" si="1"/>
        <v>3251489.2682244023</v>
      </c>
      <c r="K24" s="7">
        <f>SUM(K14:K16,K18:K23)</f>
        <v>50683522.839121655</v>
      </c>
      <c r="L24"/>
    </row>
    <row r="25" spans="1:12" s="325" customFormat="1" ht="31.15" customHeight="1" x14ac:dyDescent="0.25">
      <c r="A25" s="281"/>
      <c r="B25" s="277">
        <v>12</v>
      </c>
      <c r="C25" s="436" t="s">
        <v>283</v>
      </c>
      <c r="D25" s="436"/>
      <c r="E25" s="436"/>
      <c r="F25" s="7">
        <f>SUM(F14:F16,F18,F23)</f>
        <v>36113720.198861808</v>
      </c>
      <c r="G25" s="299">
        <f t="shared" ref="G25:J25" si="2">SUM(G14:G16,G18,G23)</f>
        <v>11318313.372035455</v>
      </c>
      <c r="H25" s="299">
        <f t="shared" si="2"/>
        <v>0</v>
      </c>
      <c r="I25" s="299">
        <f t="shared" si="2"/>
        <v>0</v>
      </c>
      <c r="J25" s="7">
        <f t="shared" si="2"/>
        <v>3251489.2682244023</v>
      </c>
      <c r="K25" s="7">
        <f>SUM(K14:K16,K18,K23)</f>
        <v>50683522.839121655</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5" t="s">
        <v>166</v>
      </c>
      <c r="E31" s="435"/>
      <c r="F31" s="435"/>
      <c r="G31" s="344" t="s">
        <v>28</v>
      </c>
      <c r="H31" s="432" t="s">
        <v>30</v>
      </c>
      <c r="I31" s="433"/>
      <c r="J31" s="433"/>
      <c r="K31" s="434"/>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1</v>
      </c>
      <c r="D33" s="416" t="s">
        <v>333</v>
      </c>
      <c r="E33" s="395"/>
      <c r="F33" s="297" t="s">
        <v>102</v>
      </c>
      <c r="G33" s="291">
        <v>1446516.6949551799</v>
      </c>
      <c r="H33" s="291">
        <v>410143.30504482001</v>
      </c>
      <c r="I33" s="291"/>
      <c r="J33" s="318"/>
      <c r="K33" s="291">
        <v>130503</v>
      </c>
      <c r="L33" s="293">
        <f>SUM(G33:K33)</f>
        <v>1987163</v>
      </c>
    </row>
    <row r="34" spans="1:12" s="359" customFormat="1" x14ac:dyDescent="0.25">
      <c r="A34" s="281"/>
      <c r="B34" s="295">
        <v>2</v>
      </c>
      <c r="C34" s="296">
        <f t="shared" si="3"/>
        <v>1</v>
      </c>
      <c r="D34" s="416" t="s">
        <v>334</v>
      </c>
      <c r="E34" s="395"/>
      <c r="F34" s="297" t="s">
        <v>102</v>
      </c>
      <c r="G34" s="291">
        <v>505688.68400000001</v>
      </c>
      <c r="H34" s="291">
        <v>312586.75599999999</v>
      </c>
      <c r="I34" s="291"/>
      <c r="J34" s="318"/>
      <c r="K34" s="291">
        <v>90854.9</v>
      </c>
      <c r="L34" s="293">
        <f t="shared" ref="L34:L97" si="4">SUM(G34:K34)</f>
        <v>909130.34</v>
      </c>
    </row>
    <row r="35" spans="1:12" s="359" customFormat="1" x14ac:dyDescent="0.25">
      <c r="A35" s="281"/>
      <c r="B35" s="295">
        <v>3</v>
      </c>
      <c r="C35" s="296">
        <f t="shared" si="3"/>
        <v>1</v>
      </c>
      <c r="D35" s="416" t="s">
        <v>335</v>
      </c>
      <c r="E35" s="395"/>
      <c r="F35" s="297" t="s">
        <v>102</v>
      </c>
      <c r="G35" s="291">
        <v>957847.1544</v>
      </c>
      <c r="H35" s="291">
        <v>357030.8456</v>
      </c>
      <c r="I35" s="291"/>
      <c r="J35" s="318"/>
      <c r="K35" s="291"/>
      <c r="L35" s="293">
        <f t="shared" si="4"/>
        <v>1314878</v>
      </c>
    </row>
    <row r="36" spans="1:12" s="359" customFormat="1" x14ac:dyDescent="0.25">
      <c r="A36" s="281"/>
      <c r="B36" s="295">
        <v>4</v>
      </c>
      <c r="C36" s="296">
        <f t="shared" si="3"/>
        <v>1</v>
      </c>
      <c r="D36" s="416" t="s">
        <v>336</v>
      </c>
      <c r="E36" s="395"/>
      <c r="F36" s="297" t="s">
        <v>102</v>
      </c>
      <c r="G36" s="291">
        <v>1135430.26270231</v>
      </c>
      <c r="H36" s="291">
        <v>485840.73729769001</v>
      </c>
      <c r="I36" s="291"/>
      <c r="J36" s="318"/>
      <c r="K36" s="291"/>
      <c r="L36" s="293">
        <f t="shared" si="4"/>
        <v>1621271</v>
      </c>
    </row>
    <row r="37" spans="1:12" s="359" customFormat="1" x14ac:dyDescent="0.25">
      <c r="A37" s="281"/>
      <c r="B37" s="295">
        <v>5</v>
      </c>
      <c r="C37" s="296">
        <f t="shared" si="3"/>
        <v>1</v>
      </c>
      <c r="D37" s="416" t="s">
        <v>337</v>
      </c>
      <c r="E37" s="395"/>
      <c r="F37" s="297" t="s">
        <v>102</v>
      </c>
      <c r="G37" s="291">
        <v>1139425.73</v>
      </c>
      <c r="H37" s="291">
        <v>415419.2699999999</v>
      </c>
      <c r="I37" s="291"/>
      <c r="J37" s="318"/>
      <c r="K37" s="291">
        <v>45386</v>
      </c>
      <c r="L37" s="293">
        <f t="shared" si="4"/>
        <v>1600231</v>
      </c>
    </row>
    <row r="38" spans="1:12" s="359" customFormat="1" x14ac:dyDescent="0.25">
      <c r="A38" s="281"/>
      <c r="B38" s="295">
        <v>6</v>
      </c>
      <c r="C38" s="296">
        <f t="shared" si="3"/>
        <v>1</v>
      </c>
      <c r="D38" s="416" t="s">
        <v>338</v>
      </c>
      <c r="E38" s="395"/>
      <c r="F38" s="297" t="s">
        <v>102</v>
      </c>
      <c r="G38" s="291">
        <v>300990.39165160002</v>
      </c>
      <c r="H38" s="291">
        <v>159625.16834839998</v>
      </c>
      <c r="I38" s="291"/>
      <c r="J38" s="318"/>
      <c r="K38" s="291"/>
      <c r="L38" s="293">
        <f t="shared" si="4"/>
        <v>460615.56</v>
      </c>
    </row>
    <row r="39" spans="1:12" s="359" customFormat="1" x14ac:dyDescent="0.25">
      <c r="A39" s="281"/>
      <c r="B39" s="295">
        <v>7</v>
      </c>
      <c r="C39" s="296">
        <f t="shared" si="3"/>
        <v>1</v>
      </c>
      <c r="D39" s="290" t="s">
        <v>339</v>
      </c>
      <c r="E39" s="395"/>
      <c r="F39" s="297" t="s">
        <v>102</v>
      </c>
      <c r="G39" s="291">
        <v>2242198.183879111</v>
      </c>
      <c r="H39" s="291">
        <v>275141.09443187475</v>
      </c>
      <c r="I39" s="291"/>
      <c r="J39" s="318"/>
      <c r="K39" s="291">
        <v>871516.0816890141</v>
      </c>
      <c r="L39" s="293">
        <f t="shared" si="4"/>
        <v>3388855.36</v>
      </c>
    </row>
    <row r="40" spans="1:12" s="359" customFormat="1" x14ac:dyDescent="0.25">
      <c r="A40" s="281"/>
      <c r="B40" s="295">
        <v>8</v>
      </c>
      <c r="C40" s="296">
        <f t="shared" si="3"/>
        <v>1</v>
      </c>
      <c r="D40" s="417" t="s">
        <v>340</v>
      </c>
      <c r="E40" s="395"/>
      <c r="F40" s="297" t="s">
        <v>102</v>
      </c>
      <c r="G40" s="291">
        <v>792805.21080254414</v>
      </c>
      <c r="H40" s="291">
        <v>494576.46966439707</v>
      </c>
      <c r="I40" s="291"/>
      <c r="J40" s="318"/>
      <c r="K40" s="291">
        <v>78740.11953305878</v>
      </c>
      <c r="L40" s="293">
        <f t="shared" si="4"/>
        <v>1366121.7999999998</v>
      </c>
    </row>
    <row r="41" spans="1:12" s="359" customFormat="1" x14ac:dyDescent="0.25">
      <c r="A41" s="281"/>
      <c r="B41" s="295">
        <v>9</v>
      </c>
      <c r="C41" s="296">
        <f t="shared" si="3"/>
        <v>1</v>
      </c>
      <c r="D41" s="417" t="s">
        <v>341</v>
      </c>
      <c r="E41" s="395"/>
      <c r="F41" s="297" t="s">
        <v>102</v>
      </c>
      <c r="G41" s="291">
        <v>4191731.2649592431</v>
      </c>
      <c r="H41" s="291">
        <v>652044.02499866462</v>
      </c>
      <c r="I41" s="291"/>
      <c r="J41" s="318"/>
      <c r="K41" s="291">
        <v>357052.4626666336</v>
      </c>
      <c r="L41" s="293">
        <f t="shared" si="4"/>
        <v>5200827.7526245415</v>
      </c>
    </row>
    <row r="42" spans="1:12" s="359" customFormat="1" x14ac:dyDescent="0.25">
      <c r="A42" s="281"/>
      <c r="B42" s="295">
        <v>10</v>
      </c>
      <c r="C42" s="296">
        <f t="shared" si="3"/>
        <v>1</v>
      </c>
      <c r="D42" s="417" t="s">
        <v>342</v>
      </c>
      <c r="E42" s="395"/>
      <c r="F42" s="297" t="s">
        <v>102</v>
      </c>
      <c r="G42" s="291">
        <v>413135.22303824592</v>
      </c>
      <c r="H42" s="291"/>
      <c r="I42" s="291"/>
      <c r="J42" s="318"/>
      <c r="K42" s="291"/>
      <c r="L42" s="293">
        <f t="shared" si="4"/>
        <v>413135.22303824592</v>
      </c>
    </row>
    <row r="43" spans="1:12" s="359" customFormat="1" x14ac:dyDescent="0.25">
      <c r="A43" s="281"/>
      <c r="B43" s="295">
        <v>11</v>
      </c>
      <c r="C43" s="296">
        <f t="shared" si="3"/>
        <v>1</v>
      </c>
      <c r="D43" s="417" t="s">
        <v>343</v>
      </c>
      <c r="E43" s="395"/>
      <c r="F43" s="297" t="s">
        <v>102</v>
      </c>
      <c r="G43" s="291">
        <v>652590.17836915632</v>
      </c>
      <c r="H43" s="291">
        <v>513993.45481254515</v>
      </c>
      <c r="I43" s="291"/>
      <c r="J43" s="318"/>
      <c r="K43" s="291"/>
      <c r="L43" s="293">
        <f t="shared" si="4"/>
        <v>1166583.6331817014</v>
      </c>
    </row>
    <row r="44" spans="1:12" s="359" customFormat="1" x14ac:dyDescent="0.25">
      <c r="A44" s="281"/>
      <c r="B44" s="295">
        <v>12</v>
      </c>
      <c r="C44" s="296">
        <f t="shared" si="3"/>
        <v>1</v>
      </c>
      <c r="D44" s="417" t="s">
        <v>344</v>
      </c>
      <c r="E44" s="395"/>
      <c r="F44" s="297" t="s">
        <v>102</v>
      </c>
      <c r="G44" s="291">
        <v>396662.21673721471</v>
      </c>
      <c r="H44" s="291">
        <v>163095.80412772516</v>
      </c>
      <c r="I44" s="291"/>
      <c r="J44" s="318"/>
      <c r="K44" s="291"/>
      <c r="L44" s="293">
        <f t="shared" si="4"/>
        <v>559758.0208649399</v>
      </c>
    </row>
    <row r="45" spans="1:12" s="359" customFormat="1" x14ac:dyDescent="0.25">
      <c r="A45" s="281"/>
      <c r="B45" s="295">
        <v>13</v>
      </c>
      <c r="C45" s="296">
        <f t="shared" si="3"/>
        <v>1</v>
      </c>
      <c r="D45" s="417" t="s">
        <v>345</v>
      </c>
      <c r="E45" s="395"/>
      <c r="F45" s="297" t="s">
        <v>103</v>
      </c>
      <c r="G45" s="291">
        <v>434222.60195107001</v>
      </c>
      <c r="H45" s="291">
        <v>139451.39804893002</v>
      </c>
      <c r="I45" s="291"/>
      <c r="J45" s="318"/>
      <c r="K45" s="291"/>
      <c r="L45" s="293">
        <f t="shared" si="4"/>
        <v>573674</v>
      </c>
    </row>
    <row r="46" spans="1:12" s="359" customFormat="1" x14ac:dyDescent="0.25">
      <c r="A46" s="281"/>
      <c r="B46" s="295">
        <v>14</v>
      </c>
      <c r="C46" s="296">
        <f t="shared" si="3"/>
        <v>1</v>
      </c>
      <c r="D46" s="417" t="s">
        <v>346</v>
      </c>
      <c r="E46" s="395"/>
      <c r="F46" s="297" t="s">
        <v>103</v>
      </c>
      <c r="G46" s="291">
        <v>278309.59186620405</v>
      </c>
      <c r="H46" s="291">
        <v>155817.5979076713</v>
      </c>
      <c r="I46" s="291"/>
      <c r="J46" s="318"/>
      <c r="K46" s="291">
        <v>30371</v>
      </c>
      <c r="L46" s="293">
        <f t="shared" si="4"/>
        <v>464498.18977387535</v>
      </c>
    </row>
    <row r="47" spans="1:12" s="359" customFormat="1" x14ac:dyDescent="0.25">
      <c r="A47" s="281"/>
      <c r="B47" s="295">
        <v>15</v>
      </c>
      <c r="C47" s="296">
        <f t="shared" si="3"/>
        <v>1</v>
      </c>
      <c r="D47" s="417" t="s">
        <v>347</v>
      </c>
      <c r="E47" s="395"/>
      <c r="F47" s="297" t="s">
        <v>103</v>
      </c>
      <c r="G47" s="291">
        <v>121843.58826960137</v>
      </c>
      <c r="H47" s="291">
        <v>68216.747821425175</v>
      </c>
      <c r="I47" s="291"/>
      <c r="J47" s="318"/>
      <c r="K47" s="291">
        <v>83909.250226124655</v>
      </c>
      <c r="L47" s="293">
        <f t="shared" si="4"/>
        <v>273969.5863171512</v>
      </c>
    </row>
    <row r="48" spans="1:12" s="359" customFormat="1" x14ac:dyDescent="0.25">
      <c r="A48" s="281"/>
      <c r="B48" s="295">
        <v>16</v>
      </c>
      <c r="C48" s="296">
        <f t="shared" si="3"/>
        <v>1</v>
      </c>
      <c r="D48" s="417" t="s">
        <v>348</v>
      </c>
      <c r="E48" s="395"/>
      <c r="F48" s="297" t="s">
        <v>103</v>
      </c>
      <c r="G48" s="291">
        <v>132295.72606389786</v>
      </c>
      <c r="H48" s="291">
        <v>74068.601482617771</v>
      </c>
      <c r="I48" s="291"/>
      <c r="J48" s="318"/>
      <c r="K48" s="291">
        <v>36735.363908973464</v>
      </c>
      <c r="L48" s="293">
        <f t="shared" si="4"/>
        <v>243099.69145548908</v>
      </c>
    </row>
    <row r="49" spans="1:12" s="359" customFormat="1" x14ac:dyDescent="0.25">
      <c r="A49" s="281"/>
      <c r="B49" s="295">
        <v>17</v>
      </c>
      <c r="C49" s="296">
        <f t="shared" si="3"/>
        <v>1</v>
      </c>
      <c r="D49" s="417" t="s">
        <v>349</v>
      </c>
      <c r="E49" s="395"/>
      <c r="F49" s="297" t="s">
        <v>103</v>
      </c>
      <c r="G49" s="291">
        <v>311140.16450348729</v>
      </c>
      <c r="H49" s="291">
        <v>111130.67239566648</v>
      </c>
      <c r="I49" s="291"/>
      <c r="J49" s="318"/>
      <c r="K49" s="291">
        <v>39886.642453484383</v>
      </c>
      <c r="L49" s="293">
        <f t="shared" si="4"/>
        <v>462157.47935263813</v>
      </c>
    </row>
    <row r="50" spans="1:12" s="359" customFormat="1" x14ac:dyDescent="0.25">
      <c r="A50" s="281"/>
      <c r="B50" s="295">
        <v>18</v>
      </c>
      <c r="C50" s="296">
        <f t="shared" si="3"/>
        <v>1</v>
      </c>
      <c r="D50" s="417" t="s">
        <v>350</v>
      </c>
      <c r="E50" s="395"/>
      <c r="F50" s="297" t="s">
        <v>103</v>
      </c>
      <c r="G50" s="291">
        <v>1721904.1162986085</v>
      </c>
      <c r="H50" s="291">
        <v>123694.04949538759</v>
      </c>
      <c r="I50" s="291"/>
      <c r="J50" s="318"/>
      <c r="K50" s="291"/>
      <c r="L50" s="293">
        <f t="shared" si="4"/>
        <v>1845598.1657939961</v>
      </c>
    </row>
    <row r="51" spans="1:12" s="359" customFormat="1" x14ac:dyDescent="0.25">
      <c r="A51" s="281"/>
      <c r="B51" s="295">
        <v>19</v>
      </c>
      <c r="C51" s="296">
        <f t="shared" si="3"/>
        <v>1</v>
      </c>
      <c r="D51" s="417" t="s">
        <v>351</v>
      </c>
      <c r="E51" s="395"/>
      <c r="F51" s="297" t="s">
        <v>103</v>
      </c>
      <c r="G51" s="291">
        <v>257602.42000000004</v>
      </c>
      <c r="H51" s="291"/>
      <c r="I51" s="291"/>
      <c r="J51" s="318"/>
      <c r="K51" s="291">
        <v>104271.71995701527</v>
      </c>
      <c r="L51" s="293">
        <f t="shared" si="4"/>
        <v>361874.13995701529</v>
      </c>
    </row>
    <row r="52" spans="1:12" s="359" customFormat="1" x14ac:dyDescent="0.25">
      <c r="A52" s="281"/>
      <c r="B52" s="295">
        <v>20</v>
      </c>
      <c r="C52" s="296">
        <f t="shared" si="3"/>
        <v>1</v>
      </c>
      <c r="D52" s="417" t="s">
        <v>352</v>
      </c>
      <c r="E52" s="395"/>
      <c r="F52" s="297" t="s">
        <v>103</v>
      </c>
      <c r="G52" s="291">
        <v>2540161.4390000002</v>
      </c>
      <c r="H52" s="291">
        <v>829602.24100000004</v>
      </c>
      <c r="I52" s="291"/>
      <c r="J52" s="318"/>
      <c r="K52" s="291">
        <v>13863</v>
      </c>
      <c r="L52" s="293">
        <f t="shared" si="4"/>
        <v>3383626.68</v>
      </c>
    </row>
    <row r="53" spans="1:12" s="359" customFormat="1" x14ac:dyDescent="0.25">
      <c r="A53" s="281"/>
      <c r="B53" s="295">
        <v>21</v>
      </c>
      <c r="C53" s="296">
        <f t="shared" si="3"/>
        <v>1</v>
      </c>
      <c r="D53" s="417" t="s">
        <v>353</v>
      </c>
      <c r="E53" s="395"/>
      <c r="F53" s="297" t="s">
        <v>103</v>
      </c>
      <c r="G53" s="291">
        <v>1268600.9382220316</v>
      </c>
      <c r="H53" s="291">
        <v>1101892.0953670475</v>
      </c>
      <c r="I53" s="291"/>
      <c r="J53" s="318"/>
      <c r="K53" s="291"/>
      <c r="L53" s="293">
        <f t="shared" si="4"/>
        <v>2370493.033589079</v>
      </c>
    </row>
    <row r="54" spans="1:12" s="359" customFormat="1" x14ac:dyDescent="0.25">
      <c r="A54" s="281"/>
      <c r="B54" s="295">
        <v>22</v>
      </c>
      <c r="C54" s="296">
        <f t="shared" si="3"/>
        <v>1</v>
      </c>
      <c r="D54" s="417" t="s">
        <v>354</v>
      </c>
      <c r="E54" s="395"/>
      <c r="F54" s="297" t="s">
        <v>103</v>
      </c>
      <c r="G54" s="291">
        <v>1067789.3907084642</v>
      </c>
      <c r="H54" s="291">
        <v>597824.8065969476</v>
      </c>
      <c r="I54" s="291"/>
      <c r="J54" s="318"/>
      <c r="K54" s="291">
        <v>88318.649450236582</v>
      </c>
      <c r="L54" s="293">
        <f t="shared" si="4"/>
        <v>1753932.8467556485</v>
      </c>
    </row>
    <row r="55" spans="1:12" s="359" customFormat="1" x14ac:dyDescent="0.25">
      <c r="A55" s="281"/>
      <c r="B55" s="295">
        <v>23</v>
      </c>
      <c r="C55" s="296">
        <f t="shared" si="3"/>
        <v>1</v>
      </c>
      <c r="D55" s="417" t="s">
        <v>355</v>
      </c>
      <c r="E55" s="395"/>
      <c r="F55" s="297" t="s">
        <v>103</v>
      </c>
      <c r="G55" s="291">
        <v>1098296.3328988631</v>
      </c>
      <c r="H55" s="291"/>
      <c r="I55" s="291"/>
      <c r="J55" s="318"/>
      <c r="K55" s="291">
        <v>380332.31269458809</v>
      </c>
      <c r="L55" s="293">
        <f t="shared" si="4"/>
        <v>1478628.6455934513</v>
      </c>
    </row>
    <row r="56" spans="1:12" s="359" customFormat="1" x14ac:dyDescent="0.25">
      <c r="A56" s="281"/>
      <c r="B56" s="295">
        <v>24</v>
      </c>
      <c r="C56" s="296">
        <f t="shared" si="3"/>
        <v>1</v>
      </c>
      <c r="D56" s="417" t="s">
        <v>356</v>
      </c>
      <c r="E56" s="395"/>
      <c r="F56" s="297" t="s">
        <v>103</v>
      </c>
      <c r="G56" s="291">
        <v>230527.7140031406</v>
      </c>
      <c r="H56" s="291">
        <v>101968.98525226436</v>
      </c>
      <c r="I56" s="291"/>
      <c r="J56" s="318"/>
      <c r="K56" s="291"/>
      <c r="L56" s="293">
        <f t="shared" si="4"/>
        <v>332496.69925540499</v>
      </c>
    </row>
    <row r="57" spans="1:12" s="359" customFormat="1" x14ac:dyDescent="0.25">
      <c r="A57" s="281"/>
      <c r="B57" s="295">
        <v>25</v>
      </c>
      <c r="C57" s="296">
        <f t="shared" si="3"/>
        <v>1</v>
      </c>
      <c r="D57" s="417" t="s">
        <v>357</v>
      </c>
      <c r="E57" s="395"/>
      <c r="F57" s="297" t="s">
        <v>103</v>
      </c>
      <c r="G57" s="291">
        <v>3946965.8982665734</v>
      </c>
      <c r="H57" s="291">
        <v>511099.8814445241</v>
      </c>
      <c r="I57" s="291"/>
      <c r="J57" s="318"/>
      <c r="K57" s="291">
        <v>19235.180744595036</v>
      </c>
      <c r="L57" s="293">
        <f t="shared" si="4"/>
        <v>4477300.9604556924</v>
      </c>
    </row>
    <row r="58" spans="1:12" s="359" customFormat="1" x14ac:dyDescent="0.25">
      <c r="A58" s="281"/>
      <c r="B58" s="295">
        <v>26</v>
      </c>
      <c r="C58" s="296">
        <f t="shared" si="3"/>
        <v>1</v>
      </c>
      <c r="D58" s="417" t="s">
        <v>358</v>
      </c>
      <c r="E58" s="395"/>
      <c r="F58" s="297" t="s">
        <v>103</v>
      </c>
      <c r="G58" s="291">
        <v>1445621.05792314</v>
      </c>
      <c r="H58" s="291">
        <v>310992.94207686</v>
      </c>
      <c r="I58" s="291"/>
      <c r="J58" s="318"/>
      <c r="K58" s="291">
        <v>284464.40954816167</v>
      </c>
      <c r="L58" s="293">
        <f t="shared" si="4"/>
        <v>2041078.4095481616</v>
      </c>
    </row>
    <row r="59" spans="1:12" s="359" customFormat="1" x14ac:dyDescent="0.25">
      <c r="A59" s="281"/>
      <c r="B59" s="295">
        <v>27</v>
      </c>
      <c r="C59" s="296">
        <f t="shared" si="3"/>
        <v>1</v>
      </c>
      <c r="D59" s="395" t="s">
        <v>359</v>
      </c>
      <c r="E59" s="395"/>
      <c r="F59" s="297" t="s">
        <v>103</v>
      </c>
      <c r="G59" s="291">
        <v>936353.13982935227</v>
      </c>
      <c r="H59" s="291"/>
      <c r="I59" s="291"/>
      <c r="J59" s="318"/>
      <c r="K59" s="291"/>
      <c r="L59" s="293">
        <f t="shared" si="4"/>
        <v>936353.13982935227</v>
      </c>
    </row>
    <row r="60" spans="1:12" s="359" customFormat="1" x14ac:dyDescent="0.25">
      <c r="A60" s="281"/>
      <c r="B60" s="295">
        <v>28</v>
      </c>
      <c r="C60" s="296">
        <f t="shared" si="3"/>
        <v>1</v>
      </c>
      <c r="D60" s="395" t="s">
        <v>360</v>
      </c>
      <c r="E60" s="395"/>
      <c r="F60" s="297" t="s">
        <v>103</v>
      </c>
      <c r="G60" s="291">
        <v>386833</v>
      </c>
      <c r="H60" s="291"/>
      <c r="I60" s="291"/>
      <c r="J60" s="318"/>
      <c r="K60" s="291"/>
      <c r="L60" s="293">
        <f t="shared" si="4"/>
        <v>386833</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F36" zoomScale="70" zoomScaleNormal="70" zoomScaleSheetLayoutView="40" zoomScalePageLayoutView="80" workbookViewId="0">
      <selection activeCell="J61" sqref="J61"/>
    </sheetView>
  </sheetViews>
  <sheetFormatPr defaultColWidth="0" defaultRowHeight="15.75" zeroHeight="1" x14ac:dyDescent="0.25"/>
  <cols>
    <col min="1" max="1" width="2.7109375" style="108" customWidth="1"/>
    <col min="2" max="2" width="6.7109375" style="108" customWidth="1"/>
    <col min="3" max="3" width="15.28515625" style="135" customWidth="1"/>
    <col min="4" max="4" width="71.5703125" style="108" customWidth="1"/>
    <col min="5" max="5" width="24.140625" style="108" customWidth="1"/>
    <col min="6" max="7" width="26" style="108" bestFit="1" customWidth="1"/>
    <col min="8" max="8" width="20.7109375" style="108" bestFit="1" customWidth="1"/>
    <col min="9" max="9" width="20" style="108" bestFit="1" customWidth="1"/>
    <col min="10" max="10" width="21.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7" t="s">
        <v>1</v>
      </c>
      <c r="C7" s="438"/>
      <c r="D7" s="9" t="str">
        <f>IF(ISBLANK('1. Information'!D8),"",'1. Information'!D8)</f>
        <v>Alameda</v>
      </c>
      <c r="F7" s="94" t="s">
        <v>2</v>
      </c>
      <c r="G7" s="109">
        <f>IF(ISBLANK('1. Information'!D7),"",'1. Information'!D7)</f>
        <v>43524</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7" t="s">
        <v>30</v>
      </c>
      <c r="H12" s="435"/>
      <c r="I12" s="435"/>
      <c r="J12" s="438"/>
      <c r="K12" s="303"/>
      <c r="L12"/>
      <c r="M12"/>
      <c r="N12"/>
      <c r="O12"/>
      <c r="P12"/>
      <c r="Q12"/>
      <c r="AL12" s="108"/>
      <c r="AM12" s="108"/>
      <c r="AN12" s="108"/>
    </row>
    <row r="13" spans="2:40" ht="47.25" customHeight="1" x14ac:dyDescent="0.25">
      <c r="C13" s="449"/>
      <c r="D13" s="449"/>
      <c r="E13" s="449"/>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3" t="s">
        <v>3</v>
      </c>
      <c r="D14" s="443"/>
      <c r="E14" s="439"/>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3" t="s">
        <v>133</v>
      </c>
      <c r="D15" s="443"/>
      <c r="E15" s="439"/>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0" t="s">
        <v>149</v>
      </c>
      <c r="D16" s="450"/>
      <c r="E16" s="451"/>
      <c r="F16" s="388">
        <v>4112565.343422438</v>
      </c>
      <c r="G16" s="387">
        <v>1706290.0064259865</v>
      </c>
      <c r="H16" s="387"/>
      <c r="I16" s="387"/>
      <c r="J16" s="387">
        <v>280784.75328501983</v>
      </c>
      <c r="K16" s="292">
        <f t="shared" si="0"/>
        <v>6099640.1031334447</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3" t="s">
        <v>228</v>
      </c>
      <c r="D17" s="443"/>
      <c r="E17" s="439"/>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3" t="s">
        <v>215</v>
      </c>
      <c r="D18" s="443"/>
      <c r="E18" s="439"/>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3" t="s">
        <v>217</v>
      </c>
      <c r="D19" s="443"/>
      <c r="E19" s="439"/>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2" t="s">
        <v>150</v>
      </c>
      <c r="D20" s="442"/>
      <c r="E20" s="442"/>
      <c r="F20" s="315">
        <f>SUMIF($G$36:$G$135,"Combined Summary",L$36:L$135) + SUMIF($F$36:$F$135,"Standalone",L$36:L$135)</f>
        <v>16891522.972294748</v>
      </c>
      <c r="G20" s="119">
        <f>SUMIF($G$36:$G$135,"Combined Summary",M$36:M$135) + SUMIF($F$36:$F$135,"Standalone",M$36:M$135)</f>
        <v>3015328.6796962735</v>
      </c>
      <c r="H20" s="119">
        <f>SUMIF($G$36:$G$135,"Combined Summary",N$36:N$135) + SUMIF($F$36:$F$135,"Standalone",N$36:N$135)</f>
        <v>0</v>
      </c>
      <c r="I20" s="119">
        <f>SUMIF($G$36:$G$135,"Combined Summary",O$36:O$135) + SUMIF($F$36:$F$135,"Standalone",O$36:O$135)</f>
        <v>0</v>
      </c>
      <c r="J20" s="119">
        <f>SUMIF($G$36:$G$135,"Combined Summary",P$36:P$135) + SUMIF($F$36:$F$135,"Standalone",P$36:P$135)</f>
        <v>1137757.8717911039</v>
      </c>
      <c r="K20" s="293">
        <f t="shared" si="0"/>
        <v>21044609.523782127</v>
      </c>
      <c r="L20"/>
      <c r="M20"/>
      <c r="N20"/>
      <c r="O20"/>
      <c r="P20"/>
      <c r="Q20"/>
      <c r="R20" s="414"/>
      <c r="S20"/>
      <c r="T20"/>
      <c r="U20"/>
      <c r="V20"/>
      <c r="W20"/>
      <c r="X20"/>
      <c r="Y20"/>
      <c r="Z20"/>
      <c r="AA20"/>
      <c r="AB20"/>
      <c r="AC20"/>
      <c r="AD20"/>
      <c r="AE20"/>
      <c r="AF20"/>
      <c r="AG20"/>
      <c r="AH20"/>
      <c r="AI20"/>
      <c r="AJ20"/>
      <c r="AK20"/>
    </row>
    <row r="21" spans="2:40" s="110" customFormat="1" ht="31.15" customHeight="1" x14ac:dyDescent="0.25">
      <c r="B21" s="123">
        <v>8</v>
      </c>
      <c r="C21" s="455" t="s">
        <v>229</v>
      </c>
      <c r="D21" s="455"/>
      <c r="E21" s="455"/>
      <c r="F21" s="8">
        <f>SUM(F14:F16,F19:F20)</f>
        <v>21004088.315717187</v>
      </c>
      <c r="G21" s="8">
        <f t="shared" ref="G21:K21" si="1">SUM(G14:G16,G19:G20)</f>
        <v>4721618.6861222601</v>
      </c>
      <c r="H21" s="8">
        <f t="shared" si="1"/>
        <v>0</v>
      </c>
      <c r="I21" s="8">
        <f t="shared" si="1"/>
        <v>0</v>
      </c>
      <c r="J21" s="8">
        <f t="shared" si="1"/>
        <v>1418542.6250761237</v>
      </c>
      <c r="K21" s="8">
        <f t="shared" si="1"/>
        <v>27144249.62691557</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4" t="s">
        <v>234</v>
      </c>
      <c r="G26" s="452" t="s">
        <v>233</v>
      </c>
      <c r="H26" s="110"/>
      <c r="I26" s="110"/>
      <c r="J26" s="110"/>
      <c r="K26" s="110"/>
      <c r="L26" s="110"/>
      <c r="M26" s="110"/>
      <c r="N26" s="110"/>
      <c r="O26" s="110"/>
      <c r="P26" s="110"/>
      <c r="Q26" s="110"/>
    </row>
    <row r="27" spans="2:40" ht="15" customHeight="1" x14ac:dyDescent="0.25">
      <c r="B27" s="99"/>
      <c r="C27" s="99"/>
      <c r="D27" s="99"/>
      <c r="E27" s="99"/>
      <c r="F27" s="454"/>
      <c r="G27" s="452"/>
      <c r="H27" s="110"/>
      <c r="I27" s="110"/>
      <c r="J27" s="110"/>
      <c r="K27" s="110"/>
      <c r="L27" s="110"/>
      <c r="M27" s="110"/>
      <c r="N27" s="110"/>
      <c r="O27" s="110"/>
      <c r="P27" s="110"/>
      <c r="Q27" s="110"/>
    </row>
    <row r="28" spans="2:40" x14ac:dyDescent="0.25">
      <c r="B28" s="99"/>
      <c r="C28" s="99"/>
      <c r="D28" s="99"/>
      <c r="E28" s="99"/>
      <c r="F28" s="454"/>
      <c r="G28" s="453"/>
      <c r="H28" s="110"/>
      <c r="I28" s="110"/>
      <c r="J28" s="110"/>
      <c r="K28" s="110"/>
      <c r="L28" s="110"/>
      <c r="M28" s="110"/>
      <c r="N28" s="110"/>
      <c r="O28" s="110"/>
      <c r="P28" s="110"/>
      <c r="Q28" s="110"/>
    </row>
    <row r="29" spans="2:40" ht="51.75" customHeight="1" x14ac:dyDescent="0.25">
      <c r="B29" s="130">
        <v>1</v>
      </c>
      <c r="C29" s="446" t="s">
        <v>245</v>
      </c>
      <c r="D29" s="447"/>
      <c r="E29" s="448"/>
      <c r="F29" s="10">
        <f>IF(F21=0,"",((SUMPRODUCT($K$36:$K$135,$L$36:$L$135)+(F19*G29))/$F$21))</f>
        <v>0.36914287477656621</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5" t="s">
        <v>165</v>
      </c>
      <c r="E34" s="435"/>
      <c r="F34" s="435"/>
      <c r="G34" s="435"/>
      <c r="H34" s="435"/>
      <c r="I34" s="435"/>
      <c r="J34" s="435"/>
      <c r="K34" s="435"/>
      <c r="L34" s="340" t="s">
        <v>28</v>
      </c>
      <c r="M34" s="437" t="s">
        <v>30</v>
      </c>
      <c r="N34" s="435"/>
      <c r="O34" s="435"/>
      <c r="P34" s="438"/>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1</v>
      </c>
      <c r="D36" s="395" t="s">
        <v>361</v>
      </c>
      <c r="E36" s="395"/>
      <c r="F36" s="416" t="s">
        <v>143</v>
      </c>
      <c r="G36" s="416" t="s">
        <v>136</v>
      </c>
      <c r="H36" s="125"/>
      <c r="I36" s="134">
        <v>1</v>
      </c>
      <c r="J36" s="134">
        <v>1</v>
      </c>
      <c r="K36" s="350">
        <f>IF(OR(G36="Combined Summary",F36="Standalone"),(SUMPRODUCT(--(D$36:D$135=D36),I$36:I$135,J$36:J$135)),"")</f>
        <v>1</v>
      </c>
      <c r="L36" s="291">
        <v>670952.08342835517</v>
      </c>
      <c r="M36" s="352">
        <v>37514.368606300086</v>
      </c>
      <c r="N36" s="116"/>
      <c r="O36" s="116"/>
      <c r="P36" s="116">
        <v>1898.4539021279647</v>
      </c>
      <c r="Q36" s="351">
        <f>SUM(L36:P36)</f>
        <v>710364.90593678318</v>
      </c>
      <c r="R36" s="409">
        <f>IF(OR(G36="Combined Summary",F36="Standalone"),(SUMIF(D$36:D$135,D36,I$36:I$135)),"")</f>
        <v>1</v>
      </c>
      <c r="S36" s="407" t="str">
        <f>IF(AND(F36="Standalone",NOT(R36=1)),"ERROR",IF(AND(G36="Combined Summary",NOT(R36=1)),"ERROR",""))</f>
        <v/>
      </c>
      <c r="AL36" s="108"/>
      <c r="AM36" s="108"/>
      <c r="AN36" s="108"/>
    </row>
    <row r="37" spans="2:40" ht="30.75" x14ac:dyDescent="0.25">
      <c r="B37" s="363">
        <v>2</v>
      </c>
      <c r="C37" s="132">
        <f t="shared" si="2"/>
        <v>1</v>
      </c>
      <c r="D37" s="395" t="s">
        <v>362</v>
      </c>
      <c r="E37" s="395"/>
      <c r="F37" s="416" t="s">
        <v>143</v>
      </c>
      <c r="G37" s="416" t="s">
        <v>132</v>
      </c>
      <c r="H37" s="125"/>
      <c r="I37" s="134">
        <v>1</v>
      </c>
      <c r="J37" s="134">
        <v>1</v>
      </c>
      <c r="K37" s="350">
        <f t="shared" ref="K37:K100" si="3">IF(OR(G37="Combined Summary",F37="Standalone"),(SUMPRODUCT(--(D$36:D$135=D37),I$36:I$135,J$36:J$135)),"")</f>
        <v>1</v>
      </c>
      <c r="L37" s="291">
        <v>1579626.8630383592</v>
      </c>
      <c r="M37" s="352">
        <v>120617.90965180733</v>
      </c>
      <c r="N37" s="116"/>
      <c r="O37" s="116"/>
      <c r="P37" s="116">
        <v>176350.89052144508</v>
      </c>
      <c r="Q37" s="351">
        <f t="shared" ref="Q37:Q100" si="4">SUM(L37:P37)</f>
        <v>1876595.6632116116</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1</v>
      </c>
      <c r="D38" s="395" t="s">
        <v>363</v>
      </c>
      <c r="E38" s="395"/>
      <c r="F38" s="416" t="s">
        <v>143</v>
      </c>
      <c r="G38" s="416" t="s">
        <v>137</v>
      </c>
      <c r="H38" s="125"/>
      <c r="I38" s="134">
        <v>1</v>
      </c>
      <c r="J38" s="134">
        <v>1</v>
      </c>
      <c r="K38" s="350">
        <f t="shared" si="3"/>
        <v>1</v>
      </c>
      <c r="L38" s="291">
        <v>1126670.8600000001</v>
      </c>
      <c r="M38" s="352">
        <v>125373.14</v>
      </c>
      <c r="N38" s="116"/>
      <c r="O38" s="116"/>
      <c r="P38" s="116"/>
      <c r="Q38" s="351">
        <f t="shared" si="4"/>
        <v>1252044</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1</v>
      </c>
      <c r="D39" s="395" t="s">
        <v>364</v>
      </c>
      <c r="E39" s="395"/>
      <c r="F39" s="416" t="s">
        <v>143</v>
      </c>
      <c r="G39" s="416" t="s">
        <v>137</v>
      </c>
      <c r="H39" s="125"/>
      <c r="I39" s="134">
        <v>1</v>
      </c>
      <c r="J39" s="134">
        <v>0</v>
      </c>
      <c r="K39" s="350">
        <f t="shared" si="3"/>
        <v>0</v>
      </c>
      <c r="L39" s="291">
        <v>398957.79558451427</v>
      </c>
      <c r="M39" s="352">
        <v>223365.08403348207</v>
      </c>
      <c r="N39" s="116"/>
      <c r="O39" s="116"/>
      <c r="P39" s="116">
        <v>120284.21038200377</v>
      </c>
      <c r="Q39" s="351">
        <f t="shared" si="4"/>
        <v>742607.09000000008</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1</v>
      </c>
      <c r="D40" s="395" t="s">
        <v>365</v>
      </c>
      <c r="E40" s="395"/>
      <c r="F40" s="416" t="s">
        <v>143</v>
      </c>
      <c r="G40" s="416" t="s">
        <v>146</v>
      </c>
      <c r="H40" s="125"/>
      <c r="I40" s="134">
        <v>1</v>
      </c>
      <c r="J40" s="134">
        <v>0.34</v>
      </c>
      <c r="K40" s="350">
        <f t="shared" si="3"/>
        <v>0.34</v>
      </c>
      <c r="L40" s="291">
        <v>1131777.0150455628</v>
      </c>
      <c r="M40" s="352">
        <v>22235.419615348317</v>
      </c>
      <c r="N40" s="116"/>
      <c r="O40" s="116"/>
      <c r="P40" s="116">
        <v>4194.435339088961</v>
      </c>
      <c r="Q40" s="351">
        <f t="shared" si="4"/>
        <v>1158206.8700000001</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1</v>
      </c>
      <c r="D41" s="395" t="s">
        <v>366</v>
      </c>
      <c r="E41" s="395"/>
      <c r="F41" s="416" t="s">
        <v>143</v>
      </c>
      <c r="G41" s="416" t="s">
        <v>136</v>
      </c>
      <c r="H41" s="125"/>
      <c r="I41" s="134">
        <v>1</v>
      </c>
      <c r="J41" s="134">
        <v>0.41</v>
      </c>
      <c r="K41" s="350">
        <f t="shared" si="3"/>
        <v>0.41</v>
      </c>
      <c r="L41" s="291">
        <v>897358.33511847258</v>
      </c>
      <c r="M41" s="352">
        <v>238217.24009405708</v>
      </c>
      <c r="N41" s="116"/>
      <c r="O41" s="116"/>
      <c r="P41" s="116"/>
      <c r="Q41" s="351">
        <f t="shared" si="4"/>
        <v>1135575.5752125296</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ht="30.75" x14ac:dyDescent="0.25">
      <c r="B42" s="363">
        <v>7</v>
      </c>
      <c r="C42" s="132">
        <f t="shared" si="2"/>
        <v>1</v>
      </c>
      <c r="D42" s="395" t="s">
        <v>367</v>
      </c>
      <c r="E42" s="395"/>
      <c r="F42" s="416" t="s">
        <v>143</v>
      </c>
      <c r="G42" s="416" t="s">
        <v>136</v>
      </c>
      <c r="H42" s="125"/>
      <c r="I42" s="134">
        <v>1</v>
      </c>
      <c r="J42" s="134">
        <v>0.54</v>
      </c>
      <c r="K42" s="350">
        <f t="shared" si="3"/>
        <v>0.54</v>
      </c>
      <c r="L42" s="291">
        <v>1456740.9006213001</v>
      </c>
      <c r="M42" s="352">
        <v>226048.09937869999</v>
      </c>
      <c r="N42" s="116"/>
      <c r="O42" s="116"/>
      <c r="P42" s="116">
        <v>86820</v>
      </c>
      <c r="Q42" s="351">
        <f t="shared" si="4"/>
        <v>1769609</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ht="30.75" x14ac:dyDescent="0.25">
      <c r="B43" s="363">
        <v>8</v>
      </c>
      <c r="C43" s="132">
        <f t="shared" si="2"/>
        <v>1</v>
      </c>
      <c r="D43" s="395" t="s">
        <v>368</v>
      </c>
      <c r="E43" s="395"/>
      <c r="F43" s="416" t="s">
        <v>143</v>
      </c>
      <c r="G43" s="416" t="s">
        <v>136</v>
      </c>
      <c r="H43" s="125"/>
      <c r="I43" s="134">
        <v>1</v>
      </c>
      <c r="J43" s="134">
        <v>0.35</v>
      </c>
      <c r="K43" s="350">
        <f t="shared" si="3"/>
        <v>0.35</v>
      </c>
      <c r="L43" s="291">
        <v>708195.17535789637</v>
      </c>
      <c r="M43" s="352">
        <v>66900.196993649995</v>
      </c>
      <c r="N43" s="116"/>
      <c r="O43" s="116"/>
      <c r="P43" s="116"/>
      <c r="Q43" s="351">
        <f t="shared" si="4"/>
        <v>775095.37235154631</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ht="30.75" x14ac:dyDescent="0.25">
      <c r="B44" s="363">
        <v>9</v>
      </c>
      <c r="C44" s="132">
        <f t="shared" si="2"/>
        <v>1</v>
      </c>
      <c r="D44" s="395" t="s">
        <v>369</v>
      </c>
      <c r="E44" s="395"/>
      <c r="F44" s="416" t="s">
        <v>143</v>
      </c>
      <c r="G44" s="416" t="s">
        <v>136</v>
      </c>
      <c r="H44" s="125"/>
      <c r="I44" s="134">
        <v>1</v>
      </c>
      <c r="J44" s="134">
        <v>0.2</v>
      </c>
      <c r="K44" s="350">
        <f t="shared" si="3"/>
        <v>0.2</v>
      </c>
      <c r="L44" s="291">
        <v>229131.81331200001</v>
      </c>
      <c r="M44" s="352">
        <v>56219.186688000002</v>
      </c>
      <c r="N44" s="116"/>
      <c r="O44" s="116"/>
      <c r="P44" s="116"/>
      <c r="Q44" s="351">
        <f t="shared" si="4"/>
        <v>285351</v>
      </c>
      <c r="R44" s="409">
        <f t="shared" si="5"/>
        <v>1</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1</v>
      </c>
      <c r="D45" s="395" t="s">
        <v>370</v>
      </c>
      <c r="E45" s="395"/>
      <c r="F45" s="416" t="s">
        <v>143</v>
      </c>
      <c r="G45" s="416" t="s">
        <v>147</v>
      </c>
      <c r="H45" s="125"/>
      <c r="I45" s="134">
        <v>1</v>
      </c>
      <c r="J45" s="134">
        <v>0.65</v>
      </c>
      <c r="K45" s="350">
        <f t="shared" si="3"/>
        <v>0.65</v>
      </c>
      <c r="L45" s="291">
        <v>289769.73660722002</v>
      </c>
      <c r="M45" s="352">
        <v>80913.263392780005</v>
      </c>
      <c r="N45" s="116"/>
      <c r="O45" s="116"/>
      <c r="P45" s="116"/>
      <c r="Q45" s="351">
        <f t="shared" si="4"/>
        <v>370683</v>
      </c>
      <c r="R45" s="409">
        <f t="shared" si="5"/>
        <v>1</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1</v>
      </c>
      <c r="D46" s="395" t="s">
        <v>371</v>
      </c>
      <c r="E46" s="395"/>
      <c r="F46" s="416" t="s">
        <v>143</v>
      </c>
      <c r="G46" s="416" t="s">
        <v>145</v>
      </c>
      <c r="H46" s="125"/>
      <c r="I46" s="134">
        <v>1</v>
      </c>
      <c r="J46" s="134">
        <v>0.31</v>
      </c>
      <c r="K46" s="350">
        <f t="shared" si="3"/>
        <v>0.31</v>
      </c>
      <c r="L46" s="291">
        <v>2236642.0213165726</v>
      </c>
      <c r="M46" s="352">
        <v>433056.49583821947</v>
      </c>
      <c r="N46" s="116"/>
      <c r="O46" s="116"/>
      <c r="P46" s="116">
        <v>209288.07284520805</v>
      </c>
      <c r="Q46" s="351">
        <f t="shared" si="4"/>
        <v>2878986.59</v>
      </c>
      <c r="R46" s="409">
        <f t="shared" si="5"/>
        <v>1</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1</v>
      </c>
      <c r="D47" s="395" t="s">
        <v>372</v>
      </c>
      <c r="E47" s="395"/>
      <c r="F47" s="416" t="s">
        <v>143</v>
      </c>
      <c r="G47" s="416" t="s">
        <v>136</v>
      </c>
      <c r="H47" s="125"/>
      <c r="I47" s="134">
        <v>1</v>
      </c>
      <c r="J47" s="134">
        <v>0.25016545334215751</v>
      </c>
      <c r="K47" s="350">
        <f t="shared" si="3"/>
        <v>0.25016545334215751</v>
      </c>
      <c r="L47" s="291">
        <v>1382330.6463367899</v>
      </c>
      <c r="M47" s="352">
        <v>33556.35366321</v>
      </c>
      <c r="N47" s="116"/>
      <c r="O47" s="116"/>
      <c r="P47" s="116"/>
      <c r="Q47" s="351">
        <f t="shared" si="4"/>
        <v>1415887</v>
      </c>
      <c r="R47" s="409">
        <f t="shared" si="5"/>
        <v>1</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2"/>
        <v>1</v>
      </c>
      <c r="D48" s="395" t="s">
        <v>373</v>
      </c>
      <c r="E48" s="395"/>
      <c r="F48" s="416" t="s">
        <v>143</v>
      </c>
      <c r="G48" s="416" t="s">
        <v>132</v>
      </c>
      <c r="H48" s="125"/>
      <c r="I48" s="134">
        <v>1</v>
      </c>
      <c r="J48" s="134">
        <v>0.31</v>
      </c>
      <c r="K48" s="350">
        <f t="shared" si="3"/>
        <v>0.31</v>
      </c>
      <c r="L48" s="291">
        <v>338560.06307122187</v>
      </c>
      <c r="M48" s="352">
        <v>253432.82039000001</v>
      </c>
      <c r="N48" s="116"/>
      <c r="O48" s="116"/>
      <c r="P48" s="116">
        <v>129252.11653877812</v>
      </c>
      <c r="Q48" s="351">
        <f t="shared" si="4"/>
        <v>721245</v>
      </c>
      <c r="R48" s="409">
        <f t="shared" si="5"/>
        <v>1</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f t="shared" si="2"/>
        <v>1</v>
      </c>
      <c r="D49" s="395" t="s">
        <v>374</v>
      </c>
      <c r="E49" s="395"/>
      <c r="F49" s="416" t="s">
        <v>143</v>
      </c>
      <c r="G49" s="416" t="s">
        <v>132</v>
      </c>
      <c r="H49" s="125"/>
      <c r="I49" s="134">
        <v>1</v>
      </c>
      <c r="J49" s="134">
        <v>0.45844155844155843</v>
      </c>
      <c r="K49" s="350">
        <f t="shared" si="3"/>
        <v>0.45844155844155843</v>
      </c>
      <c r="L49" s="291">
        <v>327338.61874380038</v>
      </c>
      <c r="M49" s="352">
        <v>115126.40258110846</v>
      </c>
      <c r="N49" s="116"/>
      <c r="O49" s="116"/>
      <c r="P49" s="116">
        <v>106053.78288760384</v>
      </c>
      <c r="Q49" s="351">
        <f t="shared" si="4"/>
        <v>548518.80421251268</v>
      </c>
      <c r="R49" s="409">
        <f t="shared" si="5"/>
        <v>1</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f t="shared" si="2"/>
        <v>1</v>
      </c>
      <c r="D50" s="395" t="s">
        <v>375</v>
      </c>
      <c r="E50" s="395"/>
      <c r="F50" s="416" t="s">
        <v>143</v>
      </c>
      <c r="G50" s="416" t="s">
        <v>136</v>
      </c>
      <c r="H50" s="125"/>
      <c r="I50" s="134">
        <v>1</v>
      </c>
      <c r="J50" s="134">
        <v>1</v>
      </c>
      <c r="K50" s="350">
        <f t="shared" si="3"/>
        <v>1</v>
      </c>
      <c r="L50" s="291">
        <v>605311.66535554128</v>
      </c>
      <c r="M50" s="352">
        <v>149039.27526961046</v>
      </c>
      <c r="N50" s="116"/>
      <c r="O50" s="116"/>
      <c r="P50" s="116">
        <v>80259.059374848206</v>
      </c>
      <c r="Q50" s="351">
        <f t="shared" si="4"/>
        <v>834610</v>
      </c>
      <c r="R50" s="409">
        <f t="shared" si="5"/>
        <v>1</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f t="shared" si="2"/>
        <v>1</v>
      </c>
      <c r="D51" s="395" t="s">
        <v>376</v>
      </c>
      <c r="E51" s="395"/>
      <c r="F51" s="416" t="s">
        <v>143</v>
      </c>
      <c r="G51" s="416" t="s">
        <v>145</v>
      </c>
      <c r="H51" s="125"/>
      <c r="I51" s="134">
        <v>1</v>
      </c>
      <c r="J51" s="134">
        <v>0</v>
      </c>
      <c r="K51" s="350">
        <f t="shared" si="3"/>
        <v>0</v>
      </c>
      <c r="L51" s="291">
        <v>236033.04</v>
      </c>
      <c r="M51" s="352"/>
      <c r="N51" s="116"/>
      <c r="O51" s="116"/>
      <c r="P51" s="116"/>
      <c r="Q51" s="351">
        <f t="shared" si="4"/>
        <v>236033.04</v>
      </c>
      <c r="R51" s="409">
        <f t="shared" si="5"/>
        <v>1</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f t="shared" si="2"/>
        <v>1</v>
      </c>
      <c r="D52" s="395" t="s">
        <v>377</v>
      </c>
      <c r="E52" s="395"/>
      <c r="F52" s="416" t="s">
        <v>143</v>
      </c>
      <c r="G52" s="416" t="s">
        <v>136</v>
      </c>
      <c r="H52" s="125"/>
      <c r="I52" s="134">
        <v>1</v>
      </c>
      <c r="J52" s="134">
        <v>0.1</v>
      </c>
      <c r="K52" s="350">
        <f t="shared" si="3"/>
        <v>0.1</v>
      </c>
      <c r="L52" s="291">
        <v>2661447.7793571427</v>
      </c>
      <c r="M52" s="352">
        <v>833713.42349999992</v>
      </c>
      <c r="N52" s="116"/>
      <c r="O52" s="116"/>
      <c r="P52" s="116">
        <v>128592.85</v>
      </c>
      <c r="Q52" s="351">
        <f t="shared" si="4"/>
        <v>3623754.0528571429</v>
      </c>
      <c r="R52" s="409">
        <f t="shared" si="5"/>
        <v>1</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f t="shared" si="2"/>
        <v>1</v>
      </c>
      <c r="D53" s="395" t="s">
        <v>378</v>
      </c>
      <c r="E53" s="395"/>
      <c r="F53" s="416" t="s">
        <v>143</v>
      </c>
      <c r="G53" s="417" t="s">
        <v>145</v>
      </c>
      <c r="H53" s="125"/>
      <c r="I53" s="134">
        <v>1</v>
      </c>
      <c r="J53" s="134">
        <v>0.1</v>
      </c>
      <c r="K53" s="350">
        <f t="shared" si="3"/>
        <v>0.1</v>
      </c>
      <c r="L53" s="291">
        <v>295329.56</v>
      </c>
      <c r="M53" s="352"/>
      <c r="N53" s="116"/>
      <c r="O53" s="116"/>
      <c r="P53" s="116"/>
      <c r="Q53" s="351">
        <f t="shared" si="4"/>
        <v>295329.56</v>
      </c>
      <c r="R53" s="409">
        <f t="shared" si="5"/>
        <v>1</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f t="shared" si="2"/>
        <v>1</v>
      </c>
      <c r="D54" s="395" t="s">
        <v>382</v>
      </c>
      <c r="E54" s="395"/>
      <c r="F54" s="125" t="s">
        <v>143</v>
      </c>
      <c r="G54" s="417" t="s">
        <v>145</v>
      </c>
      <c r="H54" s="125"/>
      <c r="I54" s="134">
        <v>1</v>
      </c>
      <c r="J54" s="134">
        <v>0.5</v>
      </c>
      <c r="K54" s="350">
        <f t="shared" si="3"/>
        <v>0.5</v>
      </c>
      <c r="L54" s="291">
        <v>319349</v>
      </c>
      <c r="M54" s="352"/>
      <c r="N54" s="116"/>
      <c r="O54" s="116"/>
      <c r="P54" s="116">
        <v>94764</v>
      </c>
      <c r="Q54" s="351">
        <f t="shared" si="4"/>
        <v>414113</v>
      </c>
      <c r="R54" s="409">
        <f t="shared" si="5"/>
        <v>1</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16" zoomScale="70" zoomScaleNormal="70" zoomScaleSheetLayoutView="40" workbookViewId="0">
      <selection activeCell="I42" sqref="I42"/>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7"/>
      <c r="C1" s="457"/>
      <c r="D1" s="457"/>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5" t="s">
        <v>1</v>
      </c>
      <c r="C7" s="445"/>
      <c r="D7" s="9" t="str">
        <f>IF(ISBLANK('1. Information'!D8),"",'1. Information'!D8)</f>
        <v>Alameda</v>
      </c>
      <c r="F7" s="94" t="s">
        <v>2</v>
      </c>
      <c r="G7" s="109">
        <f>IF(ISBLANK('1. Information'!D7),"",'1. Information'!D7)</f>
        <v>43524</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5" t="s">
        <v>30</v>
      </c>
      <c r="H12" s="435"/>
      <c r="I12" s="435"/>
      <c r="J12" s="438"/>
      <c r="K12" s="308"/>
      <c r="L12"/>
      <c r="M12"/>
      <c r="N12"/>
      <c r="O12" s="108"/>
      <c r="P12" s="108"/>
    </row>
    <row r="13" spans="2:16" ht="65.25" customHeight="1" x14ac:dyDescent="0.25">
      <c r="B13" s="108"/>
      <c r="C13" s="459"/>
      <c r="D13" s="459"/>
      <c r="E13" s="459"/>
      <c r="F13" s="30" t="s">
        <v>300</v>
      </c>
      <c r="G13" s="44" t="s">
        <v>5</v>
      </c>
      <c r="H13" s="27" t="s">
        <v>6</v>
      </c>
      <c r="I13" s="27" t="s">
        <v>31</v>
      </c>
      <c r="J13" s="27" t="s">
        <v>15</v>
      </c>
      <c r="K13" s="306" t="s">
        <v>278</v>
      </c>
      <c r="L13"/>
      <c r="M13"/>
      <c r="N13"/>
      <c r="O13" s="108"/>
      <c r="P13" s="108"/>
    </row>
    <row r="14" spans="2:16" ht="15.75" x14ac:dyDescent="0.25">
      <c r="B14" s="101">
        <v>1</v>
      </c>
      <c r="C14" s="443" t="s">
        <v>160</v>
      </c>
      <c r="D14" s="443"/>
      <c r="E14" s="443"/>
      <c r="F14" s="290"/>
      <c r="G14" s="45"/>
      <c r="H14" s="29"/>
      <c r="I14" s="29"/>
      <c r="J14" s="309"/>
      <c r="K14" s="293">
        <f>SUM(F14:J14)</f>
        <v>0</v>
      </c>
      <c r="L14"/>
      <c r="M14"/>
      <c r="N14"/>
      <c r="O14" s="108"/>
      <c r="P14" s="108"/>
    </row>
    <row r="15" spans="2:16" ht="15.75" x14ac:dyDescent="0.25">
      <c r="B15" s="101">
        <v>2</v>
      </c>
      <c r="C15" s="443" t="s">
        <v>161</v>
      </c>
      <c r="D15" s="443"/>
      <c r="E15" s="443"/>
      <c r="F15" s="29">
        <f>[5]Sheet1!$J$63</f>
        <v>549780.63199349528</v>
      </c>
      <c r="G15" s="411">
        <f>-[5]Sheet1!$H$63</f>
        <v>243183.65970939858</v>
      </c>
      <c r="H15" s="412"/>
      <c r="I15" s="412"/>
      <c r="J15" s="413">
        <f>-[5]Sheet1!$I$63</f>
        <v>45873.572607103109</v>
      </c>
      <c r="K15" s="293">
        <f>SUM(F15:J15)</f>
        <v>838837.86430999695</v>
      </c>
      <c r="L15"/>
      <c r="M15"/>
      <c r="N15"/>
      <c r="O15" s="108"/>
      <c r="P15" s="108"/>
    </row>
    <row r="16" spans="2:16" ht="15.75" x14ac:dyDescent="0.25">
      <c r="B16" s="405">
        <v>3</v>
      </c>
      <c r="C16" s="439" t="s">
        <v>314</v>
      </c>
      <c r="D16" s="440"/>
      <c r="E16" s="441"/>
      <c r="F16" s="367"/>
      <c r="G16" s="19"/>
      <c r="H16" s="19"/>
      <c r="I16" s="19"/>
      <c r="J16" s="19"/>
      <c r="K16" s="293">
        <f>SUM(F16:J16)</f>
        <v>0</v>
      </c>
      <c r="L16" s="404"/>
      <c r="M16" s="404"/>
      <c r="N16" s="404"/>
      <c r="O16" s="108"/>
      <c r="P16" s="108"/>
    </row>
    <row r="17" spans="2:17" ht="15.75" x14ac:dyDescent="0.25">
      <c r="B17" s="405">
        <v>4</v>
      </c>
      <c r="C17" s="439" t="s">
        <v>315</v>
      </c>
      <c r="D17" s="440"/>
      <c r="E17" s="441"/>
      <c r="F17" s="410"/>
      <c r="G17" s="19"/>
      <c r="H17" s="19"/>
      <c r="I17" s="19"/>
      <c r="J17" s="19"/>
      <c r="K17" s="293">
        <f>SUM(F17:J17)</f>
        <v>0</v>
      </c>
      <c r="L17" s="404"/>
      <c r="M17" s="404"/>
      <c r="N17" s="404"/>
      <c r="O17" s="108"/>
      <c r="P17" s="108"/>
    </row>
    <row r="18" spans="2:17" ht="15.75" x14ac:dyDescent="0.25">
      <c r="B18" s="101">
        <v>5</v>
      </c>
      <c r="C18" s="443" t="s">
        <v>162</v>
      </c>
      <c r="D18" s="443"/>
      <c r="E18" s="443"/>
      <c r="F18" s="28">
        <f>SUMIF($J$29:$J$132,"Project Administration",K$29:K$132)</f>
        <v>489828.86</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489828.86</v>
      </c>
      <c r="L18"/>
      <c r="M18"/>
      <c r="N18"/>
      <c r="O18" s="108"/>
      <c r="P18" s="108"/>
    </row>
    <row r="19" spans="2:17" ht="15.75" x14ac:dyDescent="0.25">
      <c r="B19" s="101">
        <v>6</v>
      </c>
      <c r="C19" s="443" t="s">
        <v>163</v>
      </c>
      <c r="D19" s="443"/>
      <c r="E19" s="443"/>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3" t="s">
        <v>236</v>
      </c>
      <c r="D20" s="443"/>
      <c r="E20" s="443"/>
      <c r="F20" s="19">
        <f>SUMIF($J$29:$J$132,"Project Direct",K$29:K$132)</f>
        <v>1426426.6748511544</v>
      </c>
      <c r="G20" s="47">
        <f>SUMIF($J$29:$J$132,"Project Direct",L$29:L$132)</f>
        <v>0</v>
      </c>
      <c r="H20" s="19">
        <f>SUMIF($J$29:$J$132,"Project Direct",M$29:M$132)</f>
        <v>0</v>
      </c>
      <c r="I20" s="19">
        <f>SUMIF($J$29:$J$132,"Project Direct",N$29:N$132)</f>
        <v>0</v>
      </c>
      <c r="J20" s="19">
        <f>SUMIF($J$29:$J$132,"Project Direct",O$29:O$132)</f>
        <v>0</v>
      </c>
      <c r="K20" s="293">
        <f t="shared" si="0"/>
        <v>1426426.6748511544</v>
      </c>
      <c r="L20"/>
      <c r="M20"/>
      <c r="N20"/>
      <c r="O20" s="108"/>
      <c r="P20" s="108"/>
    </row>
    <row r="21" spans="2:17" ht="15.75" x14ac:dyDescent="0.25">
      <c r="B21" s="101">
        <v>8</v>
      </c>
      <c r="C21" s="458" t="s">
        <v>164</v>
      </c>
      <c r="D21" s="458"/>
      <c r="E21" s="458"/>
      <c r="F21" s="18">
        <f>SUM(F18:F20)</f>
        <v>1916255.5348511543</v>
      </c>
      <c r="G21" s="48">
        <f>SUM(G18:G20)</f>
        <v>0</v>
      </c>
      <c r="H21" s="18">
        <f>SUM(H18:H20)</f>
        <v>0</v>
      </c>
      <c r="I21" s="18">
        <f>SUM(I18:I20)</f>
        <v>0</v>
      </c>
      <c r="J21" s="18">
        <f t="shared" ref="J21" si="1">SUM(J18:J20)</f>
        <v>0</v>
      </c>
      <c r="K21" s="18">
        <f t="shared" ref="K21" si="2">SUM(K18:K20)</f>
        <v>1916255.5348511543</v>
      </c>
      <c r="L21"/>
      <c r="M21"/>
      <c r="N21"/>
      <c r="O21" s="108"/>
      <c r="P21" s="108"/>
    </row>
    <row r="22" spans="2:17" ht="31.15" customHeight="1" x14ac:dyDescent="0.25">
      <c r="B22" s="101">
        <v>9</v>
      </c>
      <c r="C22" s="455" t="s">
        <v>316</v>
      </c>
      <c r="D22" s="455"/>
      <c r="E22" s="455"/>
      <c r="F22" s="20">
        <f t="shared" ref="F22:K22" si="3">SUM(F14:F15,F17,F18:F20)</f>
        <v>2466036.1668446497</v>
      </c>
      <c r="G22" s="20">
        <f t="shared" si="3"/>
        <v>243183.65970939858</v>
      </c>
      <c r="H22" s="20">
        <f t="shared" si="3"/>
        <v>0</v>
      </c>
      <c r="I22" s="20">
        <f t="shared" si="3"/>
        <v>0</v>
      </c>
      <c r="J22" s="20">
        <f t="shared" si="3"/>
        <v>45873.572607103109</v>
      </c>
      <c r="K22" s="20">
        <f t="shared" si="3"/>
        <v>2755093.3991611516</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6" t="s">
        <v>167</v>
      </c>
      <c r="E27" s="456"/>
      <c r="F27" s="456"/>
      <c r="G27" s="456"/>
      <c r="H27" s="456"/>
      <c r="I27" s="456"/>
      <c r="J27" s="456"/>
      <c r="K27" s="340" t="s">
        <v>28</v>
      </c>
      <c r="L27" s="456" t="s">
        <v>30</v>
      </c>
      <c r="M27" s="456"/>
      <c r="N27" s="456"/>
      <c r="O27" s="456"/>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1</v>
      </c>
      <c r="D29" s="416" t="s">
        <v>379</v>
      </c>
      <c r="E29" s="138"/>
      <c r="F29" s="138">
        <v>40184</v>
      </c>
      <c r="G29" s="138">
        <v>40725</v>
      </c>
      <c r="H29" s="290">
        <v>1216586</v>
      </c>
      <c r="I29" s="290" t="s">
        <v>391</v>
      </c>
      <c r="J29" s="118" t="s">
        <v>158</v>
      </c>
      <c r="K29" s="120">
        <v>489828.86</v>
      </c>
      <c r="L29" s="120"/>
      <c r="M29" s="116"/>
      <c r="N29" s="116"/>
      <c r="O29" s="129"/>
      <c r="P29" s="293">
        <f t="shared" ref="P29:P64" si="4">SUM(K29:O29)</f>
        <v>489828.86</v>
      </c>
    </row>
    <row r="30" spans="2:17" x14ac:dyDescent="0.2">
      <c r="B30" s="123">
        <v>1</v>
      </c>
      <c r="C30" s="139">
        <f t="shared" ref="C30:I31" si="5">IF(ISBLANK(C29),"",C29)</f>
        <v>1</v>
      </c>
      <c r="D30" s="397" t="str">
        <f t="shared" si="5"/>
        <v>Innovation Grant Programs</v>
      </c>
      <c r="E30" s="140" t="str">
        <f t="shared" si="5"/>
        <v/>
      </c>
      <c r="F30" s="140">
        <f t="shared" si="5"/>
        <v>40184</v>
      </c>
      <c r="G30" s="140">
        <f t="shared" si="5"/>
        <v>40725</v>
      </c>
      <c r="H30" s="122">
        <f t="shared" si="5"/>
        <v>1216586</v>
      </c>
      <c r="I30" s="122" t="str">
        <f t="shared" si="5"/>
        <v>See comment</v>
      </c>
      <c r="J30" s="119" t="s">
        <v>159</v>
      </c>
      <c r="K30" s="120"/>
      <c r="L30" s="120"/>
      <c r="M30" s="116"/>
      <c r="N30" s="116"/>
      <c r="O30" s="129"/>
      <c r="P30" s="293">
        <f t="shared" si="4"/>
        <v>0</v>
      </c>
    </row>
    <row r="31" spans="2:17" x14ac:dyDescent="0.2">
      <c r="B31" s="123">
        <v>1</v>
      </c>
      <c r="C31" s="139">
        <f t="shared" ref="C31:H31" si="6">IF(ISBLANK(C29),"",C29)</f>
        <v>1</v>
      </c>
      <c r="D31" s="398" t="str">
        <f t="shared" si="6"/>
        <v>Innovation Grant Programs</v>
      </c>
      <c r="E31" s="141" t="str">
        <f t="shared" si="6"/>
        <v/>
      </c>
      <c r="F31" s="141">
        <f t="shared" si="6"/>
        <v>40184</v>
      </c>
      <c r="G31" s="141">
        <f t="shared" si="6"/>
        <v>40725</v>
      </c>
      <c r="H31" s="119">
        <f t="shared" si="6"/>
        <v>1216586</v>
      </c>
      <c r="I31" s="119" t="str">
        <f t="shared" si="5"/>
        <v>See comment</v>
      </c>
      <c r="J31" s="119" t="s">
        <v>237</v>
      </c>
      <c r="K31" s="120">
        <f>1426426.6738509-73077.64</f>
        <v>1353349.0338509001</v>
      </c>
      <c r="L31" s="120"/>
      <c r="M31" s="116"/>
      <c r="N31" s="116"/>
      <c r="O31" s="129"/>
      <c r="P31" s="293">
        <f t="shared" si="4"/>
        <v>1353349.0338509001</v>
      </c>
    </row>
    <row r="32" spans="2:17" ht="15.75" x14ac:dyDescent="0.25">
      <c r="B32" s="96">
        <v>1</v>
      </c>
      <c r="C32" s="22">
        <f t="shared" ref="C32:I32" si="7">IF(ISBLANK(C29),"",C29)</f>
        <v>1</v>
      </c>
      <c r="D32" s="399" t="str">
        <f t="shared" si="7"/>
        <v>Innovation Grant Programs</v>
      </c>
      <c r="E32" s="33" t="str">
        <f t="shared" si="7"/>
        <v/>
      </c>
      <c r="F32" s="33">
        <f t="shared" si="7"/>
        <v>40184</v>
      </c>
      <c r="G32" s="33">
        <f t="shared" si="7"/>
        <v>40725</v>
      </c>
      <c r="H32" s="34">
        <f t="shared" si="7"/>
        <v>1216586</v>
      </c>
      <c r="I32" s="34" t="str">
        <f t="shared" si="7"/>
        <v>See comment</v>
      </c>
      <c r="J32" s="8" t="s">
        <v>263</v>
      </c>
      <c r="K32" s="50">
        <f>SUM(K29:K31)</f>
        <v>1843177.8938509002</v>
      </c>
      <c r="L32" s="50">
        <f>SUM(L29:L31)</f>
        <v>0</v>
      </c>
      <c r="M32" s="35">
        <f t="shared" ref="M32:O32" si="8">SUM(M29:M31)</f>
        <v>0</v>
      </c>
      <c r="N32" s="35">
        <f t="shared" si="8"/>
        <v>0</v>
      </c>
      <c r="O32" s="311">
        <f t="shared" si="8"/>
        <v>0</v>
      </c>
      <c r="P32" s="8">
        <f t="shared" si="4"/>
        <v>1843177.8938509002</v>
      </c>
    </row>
    <row r="33" spans="2:16" x14ac:dyDescent="0.2">
      <c r="B33" s="123">
        <v>2</v>
      </c>
      <c r="C33" s="137">
        <f>IF(P36&lt;&gt;0,VLOOKUP($D$7,Info_County_Code,2,FALSE),"")</f>
        <v>1</v>
      </c>
      <c r="D33" s="395" t="s">
        <v>383</v>
      </c>
      <c r="E33" s="138"/>
      <c r="F33" s="138">
        <v>40184</v>
      </c>
      <c r="G33" s="138">
        <v>42917</v>
      </c>
      <c r="H33" s="116">
        <v>300000</v>
      </c>
      <c r="I33" s="290" t="s">
        <v>391</v>
      </c>
      <c r="J33" s="118" t="str">
        <f>IF(NOT(ISBLANK(D33)),$J$29,"")</f>
        <v>Project Administration</v>
      </c>
      <c r="K33" s="120"/>
      <c r="L33" s="120"/>
      <c r="M33" s="116"/>
      <c r="N33" s="116"/>
      <c r="O33" s="129"/>
      <c r="P33" s="293">
        <f t="shared" ref="P33:P36" si="9">SUM(K33:O33)</f>
        <v>0</v>
      </c>
    </row>
    <row r="34" spans="2:16" x14ac:dyDescent="0.2">
      <c r="B34" s="123">
        <v>2</v>
      </c>
      <c r="C34" s="139">
        <f t="shared" ref="C34:I34" si="10">IF(ISBLANK(C33),"",C33)</f>
        <v>1</v>
      </c>
      <c r="D34" s="397" t="str">
        <f t="shared" si="10"/>
        <v>Prop 47 Case Mangement Services for Re-Entry</v>
      </c>
      <c r="E34" s="140" t="str">
        <f t="shared" si="10"/>
        <v/>
      </c>
      <c r="F34" s="140">
        <f t="shared" si="10"/>
        <v>40184</v>
      </c>
      <c r="G34" s="140">
        <f t="shared" si="10"/>
        <v>42917</v>
      </c>
      <c r="H34" s="122">
        <f t="shared" si="10"/>
        <v>300000</v>
      </c>
      <c r="I34" s="122" t="str">
        <f t="shared" si="10"/>
        <v>See comment</v>
      </c>
      <c r="J34" s="119" t="str">
        <f>IF(NOT(ISBLANK(D33)),$J$30,"")</f>
        <v>Project Evaluation</v>
      </c>
      <c r="K34" s="120"/>
      <c r="L34" s="120"/>
      <c r="M34" s="116"/>
      <c r="N34" s="116"/>
      <c r="O34" s="129"/>
      <c r="P34" s="293">
        <f t="shared" si="9"/>
        <v>0</v>
      </c>
    </row>
    <row r="35" spans="2:16" x14ac:dyDescent="0.2">
      <c r="B35" s="123">
        <v>2</v>
      </c>
      <c r="C35" s="139">
        <f t="shared" ref="C35:I35" si="11">IF(ISBLANK(C33),"",C33)</f>
        <v>1</v>
      </c>
      <c r="D35" s="398" t="str">
        <f t="shared" si="11"/>
        <v>Prop 47 Case Mangement Services for Re-Entry</v>
      </c>
      <c r="E35" s="141" t="str">
        <f t="shared" si="11"/>
        <v/>
      </c>
      <c r="F35" s="141">
        <f t="shared" si="11"/>
        <v>40184</v>
      </c>
      <c r="G35" s="141">
        <f t="shared" si="11"/>
        <v>42917</v>
      </c>
      <c r="H35" s="119">
        <f t="shared" si="11"/>
        <v>300000</v>
      </c>
      <c r="I35" s="119" t="str">
        <f t="shared" si="11"/>
        <v>See comment</v>
      </c>
      <c r="J35" s="119" t="str">
        <f>IF(NOT(ISBLANK(D33)),$J$31,"")</f>
        <v>Project Direct</v>
      </c>
      <c r="K35" s="120">
        <v>73077.64100025424</v>
      </c>
      <c r="L35" s="120"/>
      <c r="M35" s="116"/>
      <c r="N35" s="116"/>
      <c r="O35" s="129"/>
      <c r="P35" s="293">
        <f t="shared" si="9"/>
        <v>73077.64100025424</v>
      </c>
    </row>
    <row r="36" spans="2:16" ht="15.75" x14ac:dyDescent="0.25">
      <c r="B36" s="362">
        <v>2</v>
      </c>
      <c r="C36" s="22">
        <f t="shared" ref="C36:I36" si="12">IF(ISBLANK(C33),"",C33)</f>
        <v>1</v>
      </c>
      <c r="D36" s="399" t="str">
        <f t="shared" si="12"/>
        <v>Prop 47 Case Mangement Services for Re-Entry</v>
      </c>
      <c r="E36" s="33" t="str">
        <f t="shared" si="12"/>
        <v/>
      </c>
      <c r="F36" s="33">
        <f t="shared" si="12"/>
        <v>40184</v>
      </c>
      <c r="G36" s="33">
        <f t="shared" si="12"/>
        <v>42917</v>
      </c>
      <c r="H36" s="34">
        <f t="shared" si="12"/>
        <v>300000</v>
      </c>
      <c r="I36" s="34" t="str">
        <f t="shared" si="12"/>
        <v>See comment</v>
      </c>
      <c r="J36" s="8" t="str">
        <f>IF(NOT(ISBLANK(D33)),$J$32,"")</f>
        <v>Project Subtotal</v>
      </c>
      <c r="K36" s="50">
        <f t="shared" ref="K36" si="13">SUM(K33:K35)</f>
        <v>73077.64100025424</v>
      </c>
      <c r="L36" s="50">
        <f>SUM(L33:L35)</f>
        <v>0</v>
      </c>
      <c r="M36" s="35">
        <f t="shared" ref="M36:O36" si="14">SUM(M33:M35)</f>
        <v>0</v>
      </c>
      <c r="N36" s="35">
        <f t="shared" si="14"/>
        <v>0</v>
      </c>
      <c r="O36" s="311">
        <f t="shared" si="14"/>
        <v>0</v>
      </c>
      <c r="P36" s="8">
        <f t="shared" si="9"/>
        <v>73077.64100025424</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A13" zoomScale="70" zoomScaleNormal="70" zoomScaleSheetLayoutView="55" workbookViewId="0">
      <selection activeCell="I36" sqref="I36"/>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Alameda</v>
      </c>
      <c r="F7" s="94" t="s">
        <v>2</v>
      </c>
      <c r="G7" s="38">
        <f>IF(ISBLANK('1. Information'!D7),"",'1. Information'!D7)</f>
        <v>43524</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0" t="s">
        <v>213</v>
      </c>
      <c r="H12" s="461"/>
      <c r="I12" s="461"/>
      <c r="J12" s="462"/>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3" t="s">
        <v>16</v>
      </c>
      <c r="D14" s="443"/>
      <c r="E14" s="439"/>
      <c r="F14" s="290"/>
      <c r="G14" s="142"/>
      <c r="H14" s="142"/>
      <c r="I14" s="142"/>
      <c r="J14" s="142"/>
      <c r="K14" s="292">
        <f>SUM(F14:J14)</f>
        <v>0</v>
      </c>
      <c r="L14"/>
      <c r="M14"/>
      <c r="N14" s="108"/>
      <c r="O14" s="108"/>
    </row>
    <row r="15" spans="1:22" ht="15.75" x14ac:dyDescent="0.25">
      <c r="A15" s="108"/>
      <c r="B15" s="101">
        <v>2</v>
      </c>
      <c r="C15" s="443" t="s">
        <v>17</v>
      </c>
      <c r="D15" s="443"/>
      <c r="E15" s="439"/>
      <c r="F15" s="290"/>
      <c r="G15" s="142"/>
      <c r="H15" s="142"/>
      <c r="I15" s="142"/>
      <c r="J15" s="142"/>
      <c r="K15" s="292">
        <f t="shared" ref="K15:K19" si="0">SUM(F15:J15)</f>
        <v>0</v>
      </c>
      <c r="L15"/>
      <c r="M15"/>
      <c r="N15" s="108"/>
      <c r="O15" s="108"/>
    </row>
    <row r="16" spans="1:22" ht="15.75" x14ac:dyDescent="0.25">
      <c r="A16" s="108"/>
      <c r="B16" s="101">
        <v>3</v>
      </c>
      <c r="C16" s="443" t="s">
        <v>238</v>
      </c>
      <c r="D16" s="443"/>
      <c r="E16" s="439"/>
      <c r="F16" s="290"/>
      <c r="G16" s="355"/>
      <c r="H16" s="355"/>
      <c r="I16" s="355"/>
      <c r="J16" s="355"/>
      <c r="K16" s="292">
        <f t="shared" si="0"/>
        <v>0</v>
      </c>
      <c r="L16"/>
      <c r="M16"/>
      <c r="N16" s="108"/>
      <c r="O16" s="108"/>
    </row>
    <row r="17" spans="1:22" ht="15.75" x14ac:dyDescent="0.25">
      <c r="A17" s="108"/>
      <c r="B17" s="101">
        <v>4</v>
      </c>
      <c r="C17" s="443" t="s">
        <v>221</v>
      </c>
      <c r="D17" s="443"/>
      <c r="E17" s="439"/>
      <c r="F17" s="367"/>
      <c r="G17" s="119"/>
      <c r="H17" s="119"/>
      <c r="I17" s="119"/>
      <c r="J17" s="119"/>
      <c r="K17" s="292">
        <f t="shared" si="0"/>
        <v>0</v>
      </c>
      <c r="L17"/>
      <c r="M17"/>
      <c r="N17" s="108"/>
      <c r="O17" s="108"/>
    </row>
    <row r="18" spans="1:22" ht="15.75" x14ac:dyDescent="0.25">
      <c r="A18" s="108"/>
      <c r="B18" s="101">
        <v>5</v>
      </c>
      <c r="C18" s="443" t="s">
        <v>222</v>
      </c>
      <c r="D18" s="443"/>
      <c r="E18" s="439"/>
      <c r="F18" s="367"/>
      <c r="G18" s="119"/>
      <c r="H18" s="119"/>
      <c r="I18" s="119"/>
      <c r="J18" s="119"/>
      <c r="K18" s="292">
        <f t="shared" si="0"/>
        <v>0</v>
      </c>
      <c r="L18"/>
      <c r="M18"/>
      <c r="N18" s="108"/>
      <c r="O18" s="108"/>
    </row>
    <row r="19" spans="1:22" ht="15.75" x14ac:dyDescent="0.25">
      <c r="A19" s="108"/>
      <c r="B19" s="101">
        <v>6</v>
      </c>
      <c r="C19" s="439" t="s">
        <v>174</v>
      </c>
      <c r="D19" s="440"/>
      <c r="E19" s="441"/>
      <c r="F19" s="122">
        <f>SUM(E28:E32)</f>
        <v>1854891.6324322592</v>
      </c>
      <c r="G19" s="121">
        <f t="shared" ref="G19:I19" si="1">SUM(F28:F32)</f>
        <v>199436.22349953349</v>
      </c>
      <c r="H19" s="122">
        <f t="shared" si="1"/>
        <v>0</v>
      </c>
      <c r="I19" s="122">
        <f t="shared" si="1"/>
        <v>0</v>
      </c>
      <c r="J19" s="122">
        <f>SUM(I28:I32)</f>
        <v>37690.596998199093</v>
      </c>
      <c r="K19" s="293">
        <f t="shared" si="0"/>
        <v>2092018.4529299918</v>
      </c>
      <c r="L19"/>
      <c r="M19"/>
      <c r="N19" s="108"/>
      <c r="O19" s="108"/>
    </row>
    <row r="20" spans="1:22" ht="31.15" customHeight="1" x14ac:dyDescent="0.25">
      <c r="A20" s="108"/>
      <c r="B20" s="101">
        <v>7</v>
      </c>
      <c r="C20" s="455" t="s">
        <v>220</v>
      </c>
      <c r="D20" s="455"/>
      <c r="E20" s="455"/>
      <c r="F20" s="8">
        <f>SUM(F14:F16,F18:F19)</f>
        <v>1854891.6324322592</v>
      </c>
      <c r="G20" s="43">
        <f t="shared" ref="G20:J20" si="2">SUM(G14:G16,G18:G19)</f>
        <v>199436.22349953349</v>
      </c>
      <c r="H20" s="7">
        <f t="shared" si="2"/>
        <v>0</v>
      </c>
      <c r="I20" s="7">
        <f t="shared" si="2"/>
        <v>0</v>
      </c>
      <c r="J20" s="7">
        <f t="shared" si="2"/>
        <v>37690.596998199093</v>
      </c>
      <c r="K20" s="8">
        <f>SUM(K14:K16,K18:K19)</f>
        <v>2092018.4529299918</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3" t="s">
        <v>30</v>
      </c>
      <c r="G26" s="463"/>
      <c r="H26" s="463"/>
      <c r="I26" s="463"/>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1</v>
      </c>
      <c r="D28" s="145" t="s">
        <v>105</v>
      </c>
      <c r="E28" s="117">
        <v>431644.48930789862</v>
      </c>
      <c r="F28" s="120">
        <v>190963.96315682889</v>
      </c>
      <c r="G28" s="117"/>
      <c r="H28" s="117"/>
      <c r="I28" s="312">
        <v>36092.41046526438</v>
      </c>
      <c r="J28" s="119">
        <f>SUM(E28:I28)</f>
        <v>658700.8629299918</v>
      </c>
      <c r="K28"/>
      <c r="L28"/>
      <c r="M28"/>
      <c r="N28"/>
      <c r="O28"/>
      <c r="P28"/>
      <c r="Q28"/>
      <c r="R28"/>
    </row>
    <row r="29" spans="1:22" ht="15.75" x14ac:dyDescent="0.25">
      <c r="A29" s="108"/>
      <c r="B29" s="101">
        <v>2</v>
      </c>
      <c r="C29" s="132">
        <f>IF(J29&lt;&gt;0,VLOOKUP($D$7,Info_County_Code,2,FALSE),"")</f>
        <v>1</v>
      </c>
      <c r="D29" s="145" t="s">
        <v>106</v>
      </c>
      <c r="E29" s="116">
        <v>464838.77312436071</v>
      </c>
      <c r="F29" s="120">
        <v>8472.2603427045888</v>
      </c>
      <c r="G29" s="116"/>
      <c r="H29" s="116"/>
      <c r="I29" s="313">
        <v>1598.1865329347147</v>
      </c>
      <c r="J29" s="119">
        <f t="shared" ref="J29:J32" si="3">SUM(E29:I29)</f>
        <v>474909.22000000003</v>
      </c>
      <c r="K29"/>
      <c r="L29"/>
      <c r="M29"/>
      <c r="N29"/>
      <c r="O29"/>
      <c r="P29"/>
      <c r="Q29"/>
      <c r="R29"/>
    </row>
    <row r="30" spans="1:22" ht="15.75" x14ac:dyDescent="0.25">
      <c r="A30" s="108"/>
      <c r="B30" s="101">
        <v>3</v>
      </c>
      <c r="C30" s="132">
        <f>IF(J30&lt;&gt;0,VLOOKUP($D$7,Info_County_Code,2,FALSE),"")</f>
        <v>1</v>
      </c>
      <c r="D30" s="145" t="s">
        <v>107</v>
      </c>
      <c r="E30" s="116">
        <v>566784.66</v>
      </c>
      <c r="F30" s="120"/>
      <c r="G30" s="116"/>
      <c r="H30" s="116"/>
      <c r="I30" s="313"/>
      <c r="J30" s="119">
        <f t="shared" si="3"/>
        <v>566784.66</v>
      </c>
      <c r="K30"/>
      <c r="L30"/>
      <c r="M30"/>
      <c r="N30"/>
      <c r="O30"/>
      <c r="P30"/>
      <c r="Q30"/>
      <c r="R30"/>
    </row>
    <row r="31" spans="1:22" ht="15.75" x14ac:dyDescent="0.25">
      <c r="A31" s="108"/>
      <c r="B31" s="144">
        <v>4</v>
      </c>
      <c r="C31" s="132">
        <f>IF(J31&lt;&gt;0,VLOOKUP($D$7,Info_County_Code,2,FALSE),"")</f>
        <v>1</v>
      </c>
      <c r="D31" s="145" t="s">
        <v>108</v>
      </c>
      <c r="E31" s="116">
        <v>267855.70999999996</v>
      </c>
      <c r="F31" s="120"/>
      <c r="G31" s="116"/>
      <c r="H31" s="116"/>
      <c r="I31" s="313"/>
      <c r="J31" s="119">
        <f t="shared" si="3"/>
        <v>267855.70999999996</v>
      </c>
      <c r="K31"/>
      <c r="L31"/>
      <c r="M31"/>
      <c r="N31"/>
      <c r="O31"/>
      <c r="P31"/>
      <c r="Q31"/>
      <c r="R31"/>
    </row>
    <row r="32" spans="1:22" ht="15.75" x14ac:dyDescent="0.25">
      <c r="A32" s="108"/>
      <c r="B32" s="101">
        <v>5</v>
      </c>
      <c r="C32" s="132">
        <f>IF(J32&lt;&gt;0,VLOOKUP($D$7,Info_County_Code,2,FALSE),"")</f>
        <v>1</v>
      </c>
      <c r="D32" s="145" t="s">
        <v>109</v>
      </c>
      <c r="E32" s="116">
        <v>123768</v>
      </c>
      <c r="F32" s="120"/>
      <c r="G32" s="116"/>
      <c r="H32" s="116"/>
      <c r="I32" s="313"/>
      <c r="J32" s="119">
        <f t="shared" si="3"/>
        <v>123768</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22" zoomScale="70" zoomScaleNormal="70" zoomScaleSheetLayoutView="40" workbookViewId="0">
      <selection activeCell="J31" sqref="J31"/>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7"/>
      <c r="C1" s="457"/>
      <c r="D1" s="457"/>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Alameda</v>
      </c>
      <c r="E7" s="16"/>
      <c r="F7" s="95" t="s">
        <v>2</v>
      </c>
      <c r="G7" s="109">
        <f>IF(ISBLANK('1. Information'!D7),"",'1. Information'!D7)</f>
        <v>43524</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5" t="s">
        <v>213</v>
      </c>
      <c r="H12" s="445"/>
      <c r="I12" s="445"/>
      <c r="J12" s="445"/>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3" t="s">
        <v>189</v>
      </c>
      <c r="D14" s="443"/>
      <c r="E14" s="439"/>
      <c r="F14" s="142"/>
      <c r="G14" s="142"/>
      <c r="H14" s="142"/>
      <c r="I14" s="142"/>
      <c r="J14" s="142"/>
      <c r="K14" s="118">
        <f>SUM(F14:J14)</f>
        <v>0</v>
      </c>
      <c r="L14"/>
      <c r="M14"/>
      <c r="U14" s="108"/>
      <c r="V14" s="108"/>
      <c r="W14" s="108"/>
    </row>
    <row r="15" spans="2:23" x14ac:dyDescent="0.25">
      <c r="B15" s="101">
        <v>2</v>
      </c>
      <c r="C15" s="443" t="s">
        <v>188</v>
      </c>
      <c r="D15" s="443"/>
      <c r="E15" s="439"/>
      <c r="F15" s="142"/>
      <c r="G15" s="142"/>
      <c r="H15" s="142"/>
      <c r="I15" s="142"/>
      <c r="J15" s="142"/>
      <c r="K15" s="118">
        <f t="shared" ref="K15:K20" si="0">SUM(F15:J15)</f>
        <v>0</v>
      </c>
      <c r="L15"/>
      <c r="M15"/>
      <c r="U15" s="108"/>
      <c r="V15" s="108"/>
      <c r="W15" s="108"/>
    </row>
    <row r="16" spans="2:23" x14ac:dyDescent="0.25">
      <c r="B16" s="101">
        <v>3</v>
      </c>
      <c r="C16" s="443" t="s">
        <v>123</v>
      </c>
      <c r="D16" s="443"/>
      <c r="E16" s="439"/>
      <c r="F16" s="142"/>
      <c r="G16" s="142"/>
      <c r="H16" s="142"/>
      <c r="I16" s="142"/>
      <c r="J16" s="142"/>
      <c r="K16" s="118">
        <f t="shared" si="0"/>
        <v>0</v>
      </c>
      <c r="L16"/>
      <c r="M16"/>
      <c r="U16" s="108"/>
      <c r="V16" s="108"/>
      <c r="W16" s="108"/>
    </row>
    <row r="17" spans="2:23" x14ac:dyDescent="0.25">
      <c r="B17" s="101">
        <v>4</v>
      </c>
      <c r="C17" s="443" t="s">
        <v>122</v>
      </c>
      <c r="D17" s="443"/>
      <c r="E17" s="439"/>
      <c r="F17" s="142"/>
      <c r="G17" s="142"/>
      <c r="H17" s="142"/>
      <c r="I17" s="142"/>
      <c r="J17" s="142"/>
      <c r="K17" s="118">
        <f t="shared" si="0"/>
        <v>0</v>
      </c>
      <c r="L17"/>
      <c r="M17"/>
      <c r="U17" s="108"/>
      <c r="V17" s="108"/>
      <c r="W17" s="108"/>
    </row>
    <row r="18" spans="2:23" x14ac:dyDescent="0.25">
      <c r="B18" s="101">
        <v>5</v>
      </c>
      <c r="C18" s="443" t="s">
        <v>239</v>
      </c>
      <c r="D18" s="443"/>
      <c r="E18" s="439"/>
      <c r="F18" s="142">
        <v>267546.74</v>
      </c>
      <c r="G18" s="142">
        <v>121674.75</v>
      </c>
      <c r="H18" s="142"/>
      <c r="I18" s="142"/>
      <c r="J18" s="142">
        <v>22952.43</v>
      </c>
      <c r="K18" s="118">
        <f t="shared" si="0"/>
        <v>412173.92</v>
      </c>
      <c r="L18"/>
      <c r="M18"/>
      <c r="U18" s="108"/>
      <c r="V18" s="108"/>
      <c r="W18" s="108"/>
    </row>
    <row r="19" spans="2:23" x14ac:dyDescent="0.25">
      <c r="B19" s="101">
        <v>6</v>
      </c>
      <c r="C19" s="443" t="s">
        <v>240</v>
      </c>
      <c r="D19" s="443"/>
      <c r="E19" s="439"/>
      <c r="F19" s="142"/>
      <c r="G19" s="142"/>
      <c r="H19" s="142"/>
      <c r="I19" s="142"/>
      <c r="J19" s="355"/>
      <c r="K19" s="118">
        <f t="shared" si="0"/>
        <v>0</v>
      </c>
      <c r="L19"/>
      <c r="M19"/>
      <c r="U19" s="108"/>
      <c r="V19" s="108"/>
      <c r="W19" s="108"/>
    </row>
    <row r="20" spans="2:23" x14ac:dyDescent="0.25">
      <c r="B20" s="101">
        <v>7</v>
      </c>
      <c r="C20" s="443" t="s">
        <v>175</v>
      </c>
      <c r="D20" s="443"/>
      <c r="E20" s="443"/>
      <c r="F20" s="121">
        <f>SUM(G28:G47)</f>
        <v>2315432.5716475248</v>
      </c>
      <c r="G20" s="121">
        <f>SUM(H28:H47)</f>
        <v>244646.53</v>
      </c>
      <c r="H20" s="122">
        <f t="shared" ref="H20" si="1">SUM(I28:I47)</f>
        <v>0</v>
      </c>
      <c r="I20" s="122">
        <f>SUM(J28:J47)</f>
        <v>0</v>
      </c>
      <c r="J20" s="119">
        <f>SUM(K28:K47)</f>
        <v>46149.52</v>
      </c>
      <c r="K20" s="118">
        <f t="shared" si="0"/>
        <v>2606228.6216475246</v>
      </c>
      <c r="L20"/>
      <c r="M20"/>
      <c r="U20" s="108"/>
      <c r="V20" s="108"/>
      <c r="W20" s="108"/>
    </row>
    <row r="21" spans="2:23" ht="31.15" customHeight="1" x14ac:dyDescent="0.25">
      <c r="B21" s="101">
        <v>8</v>
      </c>
      <c r="C21" s="464" t="s">
        <v>20</v>
      </c>
      <c r="D21" s="464"/>
      <c r="E21" s="464"/>
      <c r="F21" s="43">
        <f>SUM(F14:F20)</f>
        <v>2582979.3116475251</v>
      </c>
      <c r="G21" s="43">
        <f>SUM(G14:G20)</f>
        <v>366321.28</v>
      </c>
      <c r="H21" s="7">
        <f t="shared" ref="H21:J21" si="2">SUM(H14:H20)</f>
        <v>0</v>
      </c>
      <c r="I21" s="7">
        <f t="shared" si="2"/>
        <v>0</v>
      </c>
      <c r="J21" s="299">
        <f t="shared" si="2"/>
        <v>69101.95</v>
      </c>
      <c r="K21" s="7">
        <f t="shared" ref="K21" si="3">SUM(K14:K20)</f>
        <v>3018402.5416475246</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3" t="s">
        <v>224</v>
      </c>
      <c r="E26" s="463"/>
      <c r="F26" s="463"/>
      <c r="G26" s="344" t="s">
        <v>214</v>
      </c>
      <c r="H26" s="463" t="s">
        <v>213</v>
      </c>
      <c r="I26" s="463"/>
      <c r="J26" s="463"/>
      <c r="K26" s="463"/>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1</v>
      </c>
      <c r="D28" s="364" t="s">
        <v>384</v>
      </c>
      <c r="E28" s="151"/>
      <c r="F28" s="125"/>
      <c r="G28" s="117">
        <v>3000</v>
      </c>
      <c r="H28" s="126"/>
      <c r="I28" s="126"/>
      <c r="J28" s="117"/>
      <c r="K28" s="312"/>
      <c r="L28" s="316">
        <f>SUM(G28:K28)</f>
        <v>3000</v>
      </c>
      <c r="M28"/>
      <c r="U28" s="108"/>
      <c r="V28" s="108"/>
      <c r="W28" s="108"/>
    </row>
    <row r="29" spans="2:23" x14ac:dyDescent="0.25">
      <c r="B29" s="101">
        <v>2</v>
      </c>
      <c r="C29" s="132">
        <f t="shared" si="4"/>
        <v>1</v>
      </c>
      <c r="D29" s="396" t="s">
        <v>381</v>
      </c>
      <c r="E29" s="396"/>
      <c r="F29" s="125"/>
      <c r="G29" s="117">
        <f>717316.201647525</f>
        <v>717316.20164752495</v>
      </c>
      <c r="H29" s="126"/>
      <c r="I29" s="120"/>
      <c r="J29" s="116"/>
      <c r="K29" s="313"/>
      <c r="L29" s="316">
        <f t="shared" ref="L29:L47" si="5">SUM(G29:K29)</f>
        <v>717316.20164752495</v>
      </c>
      <c r="M29"/>
      <c r="U29" s="108"/>
      <c r="V29" s="108"/>
      <c r="W29" s="108"/>
    </row>
    <row r="30" spans="2:23" x14ac:dyDescent="0.25">
      <c r="B30" s="101">
        <v>3</v>
      </c>
      <c r="C30" s="132">
        <f t="shared" si="4"/>
        <v>1</v>
      </c>
      <c r="D30" s="395" t="s">
        <v>380</v>
      </c>
      <c r="E30" s="396"/>
      <c r="F30" s="125"/>
      <c r="G30" s="117">
        <v>928920.19</v>
      </c>
      <c r="H30" s="126">
        <v>244646.53</v>
      </c>
      <c r="I30" s="120"/>
      <c r="J30" s="116"/>
      <c r="K30" s="313">
        <v>46149.52</v>
      </c>
      <c r="L30" s="316">
        <f>SUM(G30:K30)</f>
        <v>1219716.24</v>
      </c>
      <c r="M30"/>
      <c r="U30" s="108"/>
      <c r="V30" s="108"/>
      <c r="W30" s="108"/>
    </row>
    <row r="31" spans="2:23" x14ac:dyDescent="0.25">
      <c r="B31" s="101">
        <v>4</v>
      </c>
      <c r="C31" s="132">
        <f t="shared" si="4"/>
        <v>1</v>
      </c>
      <c r="D31" s="395" t="s">
        <v>385</v>
      </c>
      <c r="E31" s="396"/>
      <c r="F31" s="125"/>
      <c r="G31" s="117">
        <v>97000</v>
      </c>
      <c r="H31" s="126"/>
      <c r="I31" s="120"/>
      <c r="J31" s="116"/>
      <c r="K31" s="313"/>
      <c r="L31" s="316">
        <f t="shared" si="5"/>
        <v>97000</v>
      </c>
      <c r="M31"/>
      <c r="U31" s="108"/>
      <c r="V31" s="108"/>
      <c r="W31" s="108"/>
    </row>
    <row r="32" spans="2:23" x14ac:dyDescent="0.25">
      <c r="B32" s="101">
        <v>5</v>
      </c>
      <c r="C32" s="132">
        <f t="shared" si="4"/>
        <v>1</v>
      </c>
      <c r="D32" s="395" t="s">
        <v>386</v>
      </c>
      <c r="E32" s="396"/>
      <c r="F32" s="125"/>
      <c r="G32" s="117">
        <v>110700</v>
      </c>
      <c r="H32" s="126"/>
      <c r="I32" s="120"/>
      <c r="J32" s="116"/>
      <c r="K32" s="313"/>
      <c r="L32" s="316">
        <f t="shared" si="5"/>
        <v>110700</v>
      </c>
      <c r="M32"/>
      <c r="U32" s="108"/>
      <c r="V32" s="108"/>
      <c r="W32" s="108"/>
    </row>
    <row r="33" spans="2:23" x14ac:dyDescent="0.25">
      <c r="B33" s="101">
        <v>6</v>
      </c>
      <c r="C33" s="132">
        <f t="shared" si="4"/>
        <v>1</v>
      </c>
      <c r="D33" s="395" t="s">
        <v>387</v>
      </c>
      <c r="E33" s="396"/>
      <c r="F33" s="125"/>
      <c r="G33" s="117">
        <v>42256.5</v>
      </c>
      <c r="H33" s="126"/>
      <c r="I33" s="120"/>
      <c r="J33" s="116"/>
      <c r="K33" s="313"/>
      <c r="L33" s="316">
        <f t="shared" si="5"/>
        <v>42256.5</v>
      </c>
      <c r="M33"/>
      <c r="U33" s="108"/>
      <c r="V33" s="108"/>
      <c r="W33" s="108"/>
    </row>
    <row r="34" spans="2:23" x14ac:dyDescent="0.25">
      <c r="B34" s="101">
        <v>7</v>
      </c>
      <c r="C34" s="132">
        <f t="shared" si="4"/>
        <v>1</v>
      </c>
      <c r="D34" s="395" t="s">
        <v>388</v>
      </c>
      <c r="E34" s="396"/>
      <c r="F34" s="125"/>
      <c r="G34" s="117">
        <v>334541.52</v>
      </c>
      <c r="H34" s="126"/>
      <c r="I34" s="120"/>
      <c r="J34" s="116"/>
      <c r="K34" s="313"/>
      <c r="L34" s="316">
        <f t="shared" si="5"/>
        <v>334541.52</v>
      </c>
      <c r="M34"/>
      <c r="U34" s="108"/>
      <c r="V34" s="108"/>
      <c r="W34" s="108"/>
    </row>
    <row r="35" spans="2:23" x14ac:dyDescent="0.25">
      <c r="B35" s="101">
        <v>8</v>
      </c>
      <c r="C35" s="132">
        <f t="shared" si="4"/>
        <v>1</v>
      </c>
      <c r="D35" s="364" t="s">
        <v>389</v>
      </c>
      <c r="E35" s="151"/>
      <c r="F35" s="125"/>
      <c r="G35" s="117">
        <v>81698.16</v>
      </c>
      <c r="H35" s="126"/>
      <c r="I35" s="120"/>
      <c r="J35" s="116"/>
      <c r="K35" s="313"/>
      <c r="L35" s="316">
        <f t="shared" si="5"/>
        <v>81698.16</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2018-07-27T17:17:03Z</cp:lastPrinted>
  <dcterms:created xsi:type="dcterms:W3CDTF">2017-07-05T19:48:18Z</dcterms:created>
  <dcterms:modified xsi:type="dcterms:W3CDTF">2019-05-21T21:01:40Z</dcterms:modified>
</cp:coreProperties>
</file>