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2"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6" i="2" l="1"/>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C119" i="3"/>
  <c r="P120" i="3"/>
  <c r="C117" i="3" s="1"/>
  <c r="C120" i="3" s="1"/>
  <c r="P116" i="3"/>
  <c r="C113" i="3" s="1"/>
  <c r="C116" i="3" s="1"/>
  <c r="P112" i="3"/>
  <c r="C109" i="3" s="1"/>
  <c r="C112" i="3" s="1"/>
  <c r="P108" i="3"/>
  <c r="C105" i="3" s="1"/>
  <c r="C108" i="3" s="1"/>
  <c r="C102" i="3"/>
  <c r="P104" i="3"/>
  <c r="C101" i="3" s="1"/>
  <c r="C104" i="3" s="1"/>
  <c r="P100" i="3"/>
  <c r="C97" i="3" s="1"/>
  <c r="C100" i="3" s="1"/>
  <c r="P128" i="3"/>
  <c r="C125" i="3" s="1"/>
  <c r="C126" i="3" s="1"/>
  <c r="P132" i="3"/>
  <c r="C103" i="3"/>
  <c r="C107" i="3"/>
  <c r="C111" i="3"/>
  <c r="C118" i="3"/>
  <c r="C127" i="3"/>
  <c r="C128" i="3"/>
  <c r="P96" i="3"/>
  <c r="C93" i="3" s="1"/>
  <c r="C96" i="3" s="1"/>
  <c r="C90" i="3"/>
  <c r="C91" i="3"/>
  <c r="P36" i="3"/>
  <c r="C33" i="3" s="1"/>
  <c r="C99" i="3" l="1"/>
  <c r="C106" i="3"/>
  <c r="C123" i="3"/>
  <c r="C129" i="3"/>
  <c r="C131" i="3" s="1"/>
  <c r="C110" i="3"/>
  <c r="C95" i="3"/>
  <c r="C115" i="3"/>
  <c r="C98" i="3"/>
  <c r="C114" i="3"/>
  <c r="C122" i="3"/>
  <c r="C94" i="3"/>
  <c r="C130" i="3"/>
  <c r="B3" i="20"/>
  <c r="B4" i="20"/>
  <c r="C132" i="3" l="1"/>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J32" i="5"/>
  <c r="J31" i="5"/>
  <c r="C31" i="5" s="1"/>
  <c r="J30" i="5"/>
  <c r="C30" i="5" s="1"/>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8" i="22" l="1"/>
  <c r="C37" i="22"/>
  <c r="C36" i="22"/>
  <c r="C35" i="22"/>
  <c r="C34"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C83" i="10" s="1"/>
  <c r="D7" i="7"/>
  <c r="D7" i="6"/>
  <c r="C28" i="6" s="1"/>
  <c r="D7" i="5"/>
  <c r="D7" i="3"/>
  <c r="D7" i="2"/>
  <c r="C71" i="17"/>
  <c r="B71" i="17"/>
  <c r="E71" i="17" s="1"/>
  <c r="E70" i="17"/>
  <c r="C69" i="17"/>
  <c r="B69" i="17"/>
  <c r="E69" i="17" s="1"/>
  <c r="C37" i="2" l="1"/>
  <c r="C38" i="2"/>
  <c r="C39" i="2"/>
  <c r="C40" i="2"/>
  <c r="C36" i="2"/>
  <c r="C41" i="2"/>
  <c r="C42" i="2"/>
  <c r="C43" i="2"/>
  <c r="C45" i="2"/>
  <c r="C44" i="2"/>
  <c r="C32" i="5"/>
  <c r="C29" i="5"/>
  <c r="C28" i="5"/>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78" i="3"/>
  <c r="C79" i="3"/>
  <c r="C70" i="3"/>
  <c r="C71" i="3"/>
  <c r="C66" i="3"/>
  <c r="C67" i="3"/>
  <c r="C75" i="3"/>
  <c r="C64" i="3"/>
  <c r="C63" i="3"/>
  <c r="C60" i="3"/>
  <c r="C58" i="3"/>
  <c r="C50" i="3"/>
  <c r="C52" i="3"/>
  <c r="C44" i="3"/>
  <c r="C43" i="3"/>
  <c r="C38" i="3"/>
  <c r="C39" i="3"/>
  <c r="C46" i="3" l="1"/>
  <c r="C76" i="3"/>
  <c r="C87" i="3"/>
  <c r="C47" i="3"/>
  <c r="C55" i="3"/>
  <c r="C56" i="3"/>
  <c r="C86"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F22" i="3" s="1"/>
  <c r="G19" i="3"/>
  <c r="H18" i="3"/>
  <c r="H22" i="3" s="1"/>
  <c r="I18" i="3"/>
  <c r="I22" i="3" s="1"/>
  <c r="J18" i="3"/>
  <c r="J22" i="3" s="1"/>
  <c r="J19" i="3"/>
  <c r="G18" i="3"/>
  <c r="G22" i="3" s="1"/>
  <c r="H19" i="3"/>
  <c r="I19" i="3"/>
  <c r="K18" i="3" l="1"/>
  <c r="K19" i="3"/>
  <c r="D40" i="19" s="1"/>
  <c r="F30" i="19"/>
  <c r="F33" i="19"/>
  <c r="N33"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<sst xmlns="http://schemas.openxmlformats.org/spreadsheetml/2006/main" count="782" uniqueCount="349">
  <si>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</si>
  <si>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</si>
  <si>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</si>
  <si>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</si>
  <si>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</si>
  <si>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</si>
  <si>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</si>
  <si>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</si>
  <si>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</si>
  <si>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</si>
  <si>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</si>
  <si>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</si>
  <si>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</si>
  <si>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</si>
  <si>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</si>
  <si>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</si>
  <si>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</si>
  <si>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</si>
  <si>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</si>
  <si>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</si>
  <si>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</si>
  <si>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</si>
  <si>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</si>
  <si>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</si>
  <si>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</si>
  <si>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</si>
  <si>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</si>
  <si>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</si>
  <si>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</si>
  <si>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</si>
  <si>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</si>
  <si>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</si>
  <si>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</si>
  <si>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</si>
  <si>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</si>
  <si>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</si>
  <si>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</si>
  <si>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</si>
  <si>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</si>
  <si>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</si>
  <si>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</si>
  <si>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</si>
  <si>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</si>
  <si>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</si>
  <si>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</si>
  <si>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</si>
  <si>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</si>
  <si>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</si>
  <si>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</si>
  <si>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</si>
  <si>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</si>
  <si>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</si>
  <si>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</si>
  <si>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</si>
  <si>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</si>
  <si>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</si>
  <si>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</si>
  <si>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</si>
  <si>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</si>
  <si>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</si>
  <si>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</si>
  <si>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</si>
  <si>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</si>
  <si>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</si>
  <si>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</si>
  <si>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</si>
  <si>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</si>
  <si>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</si>
  <si>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</si>
  <si>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</si>
  <si>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</si>
  <si>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</si>
  <si>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</si>
  <si>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</si>
  <si>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</si>
  <si>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</si>
  <si>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</si>
  <si>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</si>
  <si>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</si>
  <si>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</si>
  <si>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</si>
  <si>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</si>
  <si>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</si>
  <si>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</si>
  <si>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</si>
  <si>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</si>
  <si>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</si>
  <si>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</si>
  <si>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</si>
  <si>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</si>
  <si>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</si>
  <si>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</si>
  <si>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</si>
  <si>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</si>
  <si>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</si>
  <si>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</si>
  <si>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</si>
  <si>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</si>
  <si>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</si>
  <si>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</si>
  <si>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</si>
  <si>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</si>
  <si>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</si>
  <si>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</si>
  <si>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</si>
  <si>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</si>
  <si>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</si>
  <si>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</si>
  <si>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</si>
  <si>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</si>
  <si>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</si>
  <si>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</si>
  <si>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</si>
  <si>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</si>
  <si>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</si>
  <si>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</si>
  <si>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</si>
  <si>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</si>
  <si>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</si>
  <si>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</si>
  <si>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</si>
  <si>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</si>
  <si>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</si>
  <si>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</si>
  <si>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</si>
  <si>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</si>
  <si>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</si>
  <si>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</si>
  <si>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</si>
  <si>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</si>
  <si>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</si>
  <si>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</si>
  <si>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</si>
  <si>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</si>
  <si>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</si>
  <si>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</si>
  <si>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</si>
  <si>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</si>
  <si>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</si>
  <si>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</si>
  <si>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</si>
  <si>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</si>
  <si>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</si>
  <si>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</si>
  <si>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</si>
  <si>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</si>
  <si>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</si>
  <si>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</si>
  <si>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</si>
  <si>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</si>
  <si>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</si>
  <si>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</si>
  <si>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</si>
  <si>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</si>
  <si>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</si>
  <si>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</si>
  <si>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</si>
  <si>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</si>
  <si>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</si>
  <si>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</si>
  <si>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</si>
  <si>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</si>
  <si>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</si>
  <si>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</si>
  <si>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</si>
  <si>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</si>
  <si>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</si>
  <si>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</si>
  <si>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</si>
  <si>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</si>
  <si>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</si>
  <si>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</si>
  <si>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</si>
  <si>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</si>
  <si>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</si>
  <si>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</si>
  <si>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</si>
  <si>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</si>
  <si>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</si>
  <si>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</si>
  <si>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</si>
  <si>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</si>
  <si>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</si>
  <si>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</si>
  <si>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</si>
  <si>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</si>
  <si>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</si>
  <si>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</si>
  <si>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</si>
  <si>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</si>
  <si>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</si>
  <si>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</si>
  <si>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</si>
  <si>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</si>
  <si>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</si>
  <si>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</si>
  <si>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</si>
  <si>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</si>
  <si>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</si>
  <si>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</si>
  <si>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</si>
  <si>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</si>
  <si>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</si>
  <si>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</si>
  <si>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</si>
  <si>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</si>
  <si>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</si>
  <si>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</si>
  <si>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</si>
  <si>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</si>
  <si>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</si>
  <si>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</si>
  <si>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</si>
  <si>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</si>
  <si>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</si>
  <si>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</si>
  <si>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</si>
  <si>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</si>
  <si>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</si>
  <si>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</si>
  <si>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</si>
  <si>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</si>
  <si>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</si>
  <si>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</si>
  <si>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</si>
  <si>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</si>
  <si>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</si>
  <si>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</si>
  <si>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</si>
  <si>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</si>
  <si>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</si>
  <si>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</si>
  <si>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</si>
  <si>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</si>
  <si>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</si>
  <si>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</si>
  <si>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</si>
  <si>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</si>
  <si>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</si>
  <si>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</si>
  <si>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</si>
  <si>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</si>
  <si>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</si>
  <si>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</si>
  <si>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</si>
  <si>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</si>
  <si>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</si>
  <si>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</si>
  <si>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</si>
  <si>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</si>
  <si>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</si>
  <si>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</si>
  <si>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</si>
  <si>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</si>
  <si>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</si>
  <si>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</si>
  <si>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</si>
  <si>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</si>
  <si>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</si>
  <si>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</si>
  <si>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</si>
  <si>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</si>
  <si>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</si>
  <si>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</si>
  <si>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</si>
  <si>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</si>
  <si>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</si>
  <si>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</si>
  <si>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</si>
  <si>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</si>
  <si>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</si>
  <si>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</si>
  <si>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</si>
  <si>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</si>
  <si>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</si>
  <si>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</si>
  <si>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</si>
  <si>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</si>
  <si>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</si>
  <si>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</si>
  <si>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</si>
  <si>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</si>
  <si>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</si>
  <si>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</si>
  <si>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</si>
  <si>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</si>
  <si>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</si>
  <si>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</si>
  <si>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</si>
  <si>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</si>
  <si>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</si>
  <si>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</si>
  <si>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</si>
  <si>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</si>
  <si>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</si>
  <si>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</si>
  <si>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</si>
  <si>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</si>
  <si>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</si>
  <si>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</si>
  <si>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</si>
  <si>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</si>
  <si>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</si>
  <si>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</si>
  <si>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</si>
  <si>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</si>
  <si>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</si>
  <si>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</si>
  <si>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</si>
  <si>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</si>
  <si>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</si>
  <si>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</si>
  <si>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</si>
  <si>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</si>
  <si>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</si>
  <si>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</si>
  <si>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</si>
  <si>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</si>
  <si>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</si>
  <si>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</si>
  <si>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</si>
  <si>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</si>
  <si>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2180 Milvia Street</t>
  </si>
  <si>
    <t>Gloria G. Ocampo</t>
  </si>
  <si>
    <t>Associate Management Analyst</t>
  </si>
  <si>
    <t>Gocampo@Cityofberkeley.info</t>
  </si>
  <si>
    <t>510 919 4361</t>
  </si>
  <si>
    <t>Berkeley, CA</t>
  </si>
  <si>
    <t>System Development, Wellness &amp; Recovery</t>
  </si>
  <si>
    <t>Family, Youth &amp; Children _ FSP</t>
  </si>
  <si>
    <t>Multi Cultural Outreach &amp; Engagement</t>
  </si>
  <si>
    <t>Crisis Services</t>
  </si>
  <si>
    <t>Tier 1-3</t>
  </si>
  <si>
    <t>TAY, Adult &amp; Older Adult FSP</t>
  </si>
  <si>
    <t>Trauma Informed Care</t>
  </si>
  <si>
    <t>High School Prevention</t>
  </si>
  <si>
    <t>Be a Star</t>
  </si>
  <si>
    <t>Community Based Children &amp; Youth</t>
  </si>
  <si>
    <t>Supportive Schools Program</t>
  </si>
  <si>
    <t>Community Education and Supports</t>
  </si>
  <si>
    <t>Homeless Outreach &amp; Treatment</t>
  </si>
  <si>
    <t>CCT/FIT</t>
  </si>
  <si>
    <t>Booked as Reserve in FY12 but subsequently</t>
  </si>
  <si>
    <t>2640 MLK</t>
  </si>
  <si>
    <t>Social Inclusion</t>
  </si>
  <si>
    <t>N/A</t>
  </si>
  <si>
    <t xml:space="preserve">found out that it was not approved by the State.  </t>
  </si>
  <si>
    <t>Entries to take it out from Reserve and move it back</t>
  </si>
  <si>
    <t>to available funds were posted on 2/2/18.</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</si>
</sst>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ColWidth="9.140625"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E14" sqref="E14"/>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1" t="s">
        <v>1</v>
      </c>
      <c r="C7" s="431"/>
      <c r="D7" s="9" t="str">
        <f>IF(ISBLANK('1. Information'!D8),"",'1. Information'!D8)</f>
        <v>Berkeley City</v>
      </c>
      <c r="F7" s="94" t="s">
        <v>2</v>
      </c>
      <c r="G7" s="109">
        <f>IF(ISBLANK('1. Information'!D7),"",'1. Information'!D7)</f>
        <v>43455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69" zoomScale="70" zoomScaleNormal="70" workbookViewId="0">
      <selection activeCell="E48" sqref="E48"/>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1" t="s">
        <v>1</v>
      </c>
      <c r="C7" s="431"/>
      <c r="D7" s="9" t="str">
        <f>IF(ISBLANK('1. Information'!D8),"",'1. Information'!D8)</f>
        <v>Berkeley City</v>
      </c>
      <c r="E7" s="3"/>
      <c r="F7" s="97" t="s">
        <v>178</v>
      </c>
      <c r="G7" s="109">
        <f>IF(ISBLANK('1. Information'!D7),"",'1. Information'!D7)</f>
        <v>43455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364"/>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f t="shared" ref="C83:C112" si="2">IF(F83&lt;&gt;0,VLOOKUP($D$7,Info_County_Code,2,FALSE),"")</f>
        <v>65</v>
      </c>
      <c r="D83" s="157" t="s">
        <v>192</v>
      </c>
      <c r="E83" s="337"/>
      <c r="F83" s="150">
        <v>-145600</v>
      </c>
      <c r="G83" s="364" t="s">
        <v>342</v>
      </c>
    </row>
    <row r="84" spans="2:7" x14ac:dyDescent="0.2">
      <c r="B84" s="101">
        <v>2</v>
      </c>
      <c r="C84" s="132" t="str">
        <f t="shared" si="2"/>
        <v/>
      </c>
      <c r="D84" s="157" t="s">
        <v>192</v>
      </c>
      <c r="E84" s="133"/>
      <c r="F84" s="150"/>
      <c r="G84" s="364" t="s">
        <v>346</v>
      </c>
    </row>
    <row r="85" spans="2:7" x14ac:dyDescent="0.2">
      <c r="B85" s="101">
        <v>3</v>
      </c>
      <c r="C85" s="132" t="str">
        <f t="shared" si="2"/>
        <v/>
      </c>
      <c r="D85" s="157" t="s">
        <v>192</v>
      </c>
      <c r="E85" s="133"/>
      <c r="F85" s="150"/>
      <c r="G85" s="364" t="s">
        <v>347</v>
      </c>
    </row>
    <row r="86" spans="2:7" x14ac:dyDescent="0.2">
      <c r="B86" s="254">
        <v>4</v>
      </c>
      <c r="C86" s="132" t="str">
        <f t="shared" si="2"/>
        <v/>
      </c>
      <c r="D86" s="157" t="s">
        <v>192</v>
      </c>
      <c r="E86" s="133"/>
      <c r="F86" s="150"/>
      <c r="G86" s="364" t="s">
        <v>348</v>
      </c>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1" t="s">
        <v>1</v>
      </c>
      <c r="C7" s="431"/>
      <c r="D7" s="9" t="str">
        <f>IF(ISBLANK('1. Information'!D8),"",'1. Information'!D8)</f>
        <v>Berkeley City</v>
      </c>
      <c r="F7" s="94" t="s">
        <v>2</v>
      </c>
      <c r="G7" s="38">
        <f>IF(ISBLANK('1. Information'!D7),"",'1. Information'!D7)</f>
        <v>43455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topLeftCell="A4"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1" t="s">
        <v>311</v>
      </c>
    </row>
    <row r="15" spans="1:7" ht="68.25" customHeight="1" x14ac:dyDescent="0.2">
      <c r="B15" s="423"/>
      <c r="C15" s="382" t="s">
        <v>321</v>
      </c>
    </row>
    <row r="16" spans="1:7" ht="66" customHeight="1" x14ac:dyDescent="0.2">
      <c r="B16" s="424"/>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topLeftCell="A2" zoomScale="80" zoomScaleNormal="80" workbookViewId="0">
      <selection activeCell="D7" sqref="D7"/>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43455</v>
      </c>
    </row>
    <row r="8" spans="1:5" ht="34.5" customHeight="1" x14ac:dyDescent="0.2">
      <c r="A8" s="99"/>
      <c r="B8" s="130">
        <v>2</v>
      </c>
      <c r="C8" s="102" t="s">
        <v>1</v>
      </c>
      <c r="D8" s="365" t="s">
        <v>45</v>
      </c>
    </row>
    <row r="9" spans="1:5" ht="34.5" customHeight="1" x14ac:dyDescent="0.2">
      <c r="A9" s="99"/>
      <c r="B9" s="130">
        <v>3</v>
      </c>
      <c r="C9" s="103" t="s">
        <v>125</v>
      </c>
      <c r="D9" s="104">
        <f>IF(ISBLANK(D8),"",VLOOKUP(D8,Info_County_Code,2))</f>
        <v>65</v>
      </c>
    </row>
    <row r="10" spans="1:5" ht="34.5" customHeight="1" x14ac:dyDescent="0.2">
      <c r="A10" s="99"/>
      <c r="B10" s="130">
        <v>4</v>
      </c>
      <c r="C10" s="102" t="s">
        <v>126</v>
      </c>
      <c r="D10" s="418" t="s">
        <v>322</v>
      </c>
    </row>
    <row r="11" spans="1:5" ht="34.5" customHeight="1" x14ac:dyDescent="0.2">
      <c r="A11" s="99"/>
      <c r="B11" s="130">
        <v>5</v>
      </c>
      <c r="C11" s="102" t="s">
        <v>127</v>
      </c>
      <c r="D11" s="365" t="s">
        <v>327</v>
      </c>
    </row>
    <row r="12" spans="1:5" ht="34.5" customHeight="1" x14ac:dyDescent="0.2">
      <c r="A12" s="99"/>
      <c r="B12" s="130">
        <v>6</v>
      </c>
      <c r="C12" s="102" t="s">
        <v>128</v>
      </c>
      <c r="D12" s="244">
        <v>94704</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323</v>
      </c>
    </row>
    <row r="15" spans="1:5" ht="34.5" customHeight="1" x14ac:dyDescent="0.2">
      <c r="A15" s="99"/>
      <c r="B15" s="130">
        <v>9</v>
      </c>
      <c r="C15" s="383" t="s">
        <v>193</v>
      </c>
      <c r="D15" s="419" t="s">
        <v>324</v>
      </c>
    </row>
    <row r="16" spans="1:5" ht="34.5" customHeight="1" x14ac:dyDescent="0.2">
      <c r="A16" s="99"/>
      <c r="B16" s="130">
        <v>10</v>
      </c>
      <c r="C16" s="383" t="s">
        <v>211</v>
      </c>
      <c r="D16" s="419" t="s">
        <v>325</v>
      </c>
    </row>
    <row r="17" spans="1:4" ht="34.5" customHeight="1" x14ac:dyDescent="0.2">
      <c r="A17" s="99"/>
      <c r="B17" s="130">
        <v>11</v>
      </c>
      <c r="C17" s="102" t="s">
        <v>194</v>
      </c>
      <c r="D17" s="420" t="s">
        <v>326</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76" zoomScaleNormal="76" zoomScaleSheetLayoutView="40" workbookViewId="0">
      <pane xSplit="3" ySplit="20" topLeftCell="D21" activePane="bottomRight" state="frozen"/>
      <selection pane="topRight" activeCell="D1" sqref="D1"/>
      <selection pane="bottomLeft" activeCell="A16" sqref="A16"/>
      <selection pane="bottomRight" activeCell="D31" sqref="D31"/>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Berkeley City</v>
      </c>
      <c r="F7" s="360" t="s">
        <v>2</v>
      </c>
      <c r="G7" s="259">
        <f>IF(ISBLANK('1. Information'!D7),"",'1. Information'!D7)</f>
        <v>43455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169643</v>
      </c>
      <c r="E15" s="260"/>
      <c r="F15" s="260"/>
      <c r="G15" s="90"/>
      <c r="H15" s="260"/>
      <c r="I15" s="260"/>
      <c r="J15" s="260"/>
      <c r="K15" s="260"/>
      <c r="L15" s="260"/>
      <c r="M15" s="260"/>
      <c r="N15" s="260"/>
    </row>
    <row r="16" spans="2:14" x14ac:dyDescent="0.25">
      <c r="B16" s="24">
        <v>2</v>
      </c>
      <c r="C16" s="332" t="s">
        <v>306</v>
      </c>
      <c r="D16" s="394">
        <v>1623273</v>
      </c>
      <c r="E16" s="260"/>
      <c r="F16" s="260"/>
      <c r="G16" s="90"/>
      <c r="H16" s="260"/>
      <c r="I16" s="260"/>
      <c r="J16" s="260"/>
      <c r="K16" s="260"/>
      <c r="L16" s="260"/>
      <c r="M16" s="260"/>
      <c r="N16" s="260"/>
    </row>
    <row r="17" spans="2:14" x14ac:dyDescent="0.25">
      <c r="B17" s="24">
        <v>3</v>
      </c>
      <c r="C17" s="332" t="s">
        <v>312</v>
      </c>
      <c r="D17" s="91">
        <f>D16+M22+M27+SUM('9. Adjustment (MHSA)'!F83:F112)</f>
        <v>1477673</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128928.68000000001</v>
      </c>
      <c r="E23" s="380">
        <f>D15*0.19</f>
        <v>32232.170000000002</v>
      </c>
      <c r="F23" s="261">
        <f>D15*0.05</f>
        <v>8482.15</v>
      </c>
      <c r="G23" s="327"/>
      <c r="H23" s="327"/>
      <c r="I23" s="327"/>
      <c r="J23" s="334"/>
      <c r="K23" s="327"/>
      <c r="L23" s="327"/>
      <c r="M23" s="327"/>
      <c r="N23" s="333">
        <f>SUM(D23:M23)</f>
        <v>169643</v>
      </c>
    </row>
    <row r="24" spans="2:14" ht="24" customHeight="1" x14ac:dyDescent="0.25">
      <c r="B24" s="24">
        <v>6</v>
      </c>
      <c r="C24" s="266" t="s">
        <v>25</v>
      </c>
      <c r="D24" s="339">
        <f t="shared" ref="D24:L24" si="0">SUM(D22:D23)</f>
        <v>128928.68000000001</v>
      </c>
      <c r="E24" s="339">
        <f t="shared" si="0"/>
        <v>32232.170000000002</v>
      </c>
      <c r="F24" s="339">
        <f t="shared" si="0"/>
        <v>8482.15</v>
      </c>
      <c r="G24" s="339">
        <f t="shared" si="0"/>
        <v>0</v>
      </c>
      <c r="H24" s="339">
        <f t="shared" si="0"/>
        <v>0</v>
      </c>
      <c r="I24" s="339">
        <f t="shared" si="0"/>
        <v>0</v>
      </c>
      <c r="J24" s="339">
        <f t="shared" si="0"/>
        <v>0</v>
      </c>
      <c r="K24" s="339">
        <f t="shared" si="0"/>
        <v>0</v>
      </c>
      <c r="L24" s="339">
        <f t="shared" si="0"/>
        <v>0</v>
      </c>
      <c r="M24" s="339">
        <v>0</v>
      </c>
      <c r="N24" s="371">
        <f>SUM(D24:M24)</f>
        <v>169643</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3699603</v>
      </c>
      <c r="E30" s="264">
        <f>'4. PEI'!F21</f>
        <v>1102059.05</v>
      </c>
      <c r="F30" s="264">
        <f>'5. INN'!F22</f>
        <v>32773</v>
      </c>
      <c r="G30" s="264">
        <f>'6. WET'!F20</f>
        <v>94609</v>
      </c>
      <c r="H30" s="264">
        <f>'7. CFTN'!F21</f>
        <v>1394835</v>
      </c>
      <c r="I30" s="334"/>
      <c r="J30" s="264">
        <f>'8. WET RP, HP'!E14</f>
        <v>0</v>
      </c>
      <c r="K30" s="264">
        <f>'4. PEI'!F17</f>
        <v>42128</v>
      </c>
      <c r="L30" s="264">
        <f>'8. WET RP, HP'!E15</f>
        <v>0</v>
      </c>
      <c r="M30" s="334"/>
      <c r="N30" s="264">
        <f t="shared" ref="N30:N35" si="1">SUM(D30:M30)</f>
        <v>6366007.0499999998</v>
      </c>
    </row>
    <row r="31" spans="2:14" ht="24" customHeight="1" x14ac:dyDescent="0.25">
      <c r="B31" s="24">
        <v>9</v>
      </c>
      <c r="C31" s="262" t="s">
        <v>5</v>
      </c>
      <c r="D31" s="261">
        <f>'3. CSS'!G25</f>
        <v>193248</v>
      </c>
      <c r="E31" s="261">
        <f>'4. PEI'!G21</f>
        <v>0</v>
      </c>
      <c r="F31" s="261">
        <f>'5. INN'!G22</f>
        <v>0</v>
      </c>
      <c r="G31" s="261">
        <f>'6. WET'!G20</f>
        <v>0</v>
      </c>
      <c r="H31" s="261">
        <f>'7. CFTN'!G21</f>
        <v>0</v>
      </c>
      <c r="I31" s="7"/>
      <c r="J31" s="261">
        <f>'8. WET RP, HP'!F14</f>
        <v>0</v>
      </c>
      <c r="K31" s="261">
        <f>'4. PEI'!G17</f>
        <v>0</v>
      </c>
      <c r="L31" s="261">
        <f>'8. WET RP, HP'!F15</f>
        <v>0</v>
      </c>
      <c r="M31" s="327"/>
      <c r="N31" s="264">
        <f t="shared" si="1"/>
        <v>193248</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3892851</v>
      </c>
      <c r="E35" s="267">
        <f t="shared" ref="E35:L35" si="2">SUM(E30:E34)</f>
        <v>1102059.05</v>
      </c>
      <c r="F35" s="267">
        <f t="shared" si="2"/>
        <v>32773</v>
      </c>
      <c r="G35" s="267">
        <f t="shared" si="2"/>
        <v>94609</v>
      </c>
      <c r="H35" s="267">
        <f t="shared" si="2"/>
        <v>1394835</v>
      </c>
      <c r="I35" s="267">
        <f t="shared" si="2"/>
        <v>0</v>
      </c>
      <c r="J35" s="267">
        <f t="shared" si="2"/>
        <v>0</v>
      </c>
      <c r="K35" s="267">
        <f t="shared" si="2"/>
        <v>42128</v>
      </c>
      <c r="L35" s="267">
        <f t="shared" si="2"/>
        <v>0</v>
      </c>
      <c r="M35" s="7"/>
      <c r="N35" s="339">
        <f t="shared" si="1"/>
        <v>6559255.0499999998</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785692.40999999992</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B13" zoomScale="70" zoomScaleNormal="70" zoomScaleSheetLayoutView="40" zoomScalePageLayoutView="70" workbookViewId="0">
      <selection activeCell="H35" sqref="H35"/>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0"/>
      <c r="C1" s="430"/>
      <c r="D1" s="430"/>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1" t="s">
        <v>1</v>
      </c>
      <c r="C7" s="431"/>
      <c r="D7" s="9" t="str">
        <f>IF(ISBLANK('1. Information'!D8),"",'1. Information'!D8)</f>
        <v>Berkeley City</v>
      </c>
      <c r="E7" s="281"/>
      <c r="F7" s="279" t="s">
        <v>2</v>
      </c>
      <c r="G7" s="282">
        <f>IF(ISBLANK('1. Information'!D7),"",'1. Information'!D7)</f>
        <v>43455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1" t="s">
        <v>30</v>
      </c>
      <c r="H12" s="439"/>
      <c r="I12" s="439"/>
      <c r="J12" s="442"/>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2" t="s">
        <v>7</v>
      </c>
      <c r="D14" s="432"/>
      <c r="E14" s="432"/>
      <c r="F14" s="367"/>
      <c r="G14" s="368"/>
      <c r="H14" s="353"/>
      <c r="I14" s="290"/>
      <c r="J14" s="290"/>
      <c r="K14" s="292">
        <f>SUM(F14:J14)</f>
        <v>0</v>
      </c>
      <c r="L14"/>
    </row>
    <row r="15" spans="1:12" ht="15" customHeight="1" x14ac:dyDescent="0.25">
      <c r="A15" s="281"/>
      <c r="B15" s="277">
        <v>2</v>
      </c>
      <c r="C15" s="432" t="s">
        <v>8</v>
      </c>
      <c r="D15" s="432"/>
      <c r="E15" s="432"/>
      <c r="F15" s="367"/>
      <c r="G15" s="290"/>
      <c r="H15" s="290"/>
      <c r="I15" s="290"/>
      <c r="J15" s="290"/>
      <c r="K15" s="292">
        <f t="shared" ref="K15:K23" si="0">SUM(F15:J15)</f>
        <v>0</v>
      </c>
      <c r="L15"/>
    </row>
    <row r="16" spans="1:12" x14ac:dyDescent="0.25">
      <c r="A16" s="281"/>
      <c r="B16" s="277">
        <v>3</v>
      </c>
      <c r="C16" s="432" t="s">
        <v>129</v>
      </c>
      <c r="D16" s="432"/>
      <c r="E16" s="432"/>
      <c r="F16" s="367">
        <v>475915</v>
      </c>
      <c r="G16" s="290"/>
      <c r="H16" s="290"/>
      <c r="I16" s="290"/>
      <c r="J16" s="290"/>
      <c r="K16" s="292">
        <f t="shared" si="0"/>
        <v>475915</v>
      </c>
      <c r="L16"/>
    </row>
    <row r="17" spans="1:12" x14ac:dyDescent="0.25">
      <c r="A17" s="281"/>
      <c r="B17" s="277">
        <v>4</v>
      </c>
      <c r="C17" s="446" t="s">
        <v>218</v>
      </c>
      <c r="D17" s="446"/>
      <c r="E17" s="446"/>
      <c r="F17" s="367"/>
      <c r="G17" s="290"/>
      <c r="H17" s="290"/>
      <c r="I17" s="290"/>
      <c r="J17" s="290"/>
      <c r="K17" s="292">
        <f t="shared" si="0"/>
        <v>0</v>
      </c>
      <c r="L17"/>
    </row>
    <row r="18" spans="1:12" x14ac:dyDescent="0.25">
      <c r="A18" s="281"/>
      <c r="B18" s="277">
        <v>5</v>
      </c>
      <c r="C18" s="446" t="s">
        <v>219</v>
      </c>
      <c r="D18" s="446"/>
      <c r="E18" s="446"/>
      <c r="F18" s="367"/>
      <c r="G18" s="294"/>
      <c r="H18" s="294"/>
      <c r="I18" s="294"/>
      <c r="J18" s="294"/>
      <c r="K18" s="292">
        <f t="shared" si="0"/>
        <v>0</v>
      </c>
      <c r="L18"/>
    </row>
    <row r="19" spans="1:12" x14ac:dyDescent="0.25">
      <c r="A19" s="281"/>
      <c r="B19" s="277">
        <v>6</v>
      </c>
      <c r="C19" s="432" t="s">
        <v>216</v>
      </c>
      <c r="D19" s="432"/>
      <c r="E19" s="432"/>
      <c r="F19" s="290"/>
      <c r="G19" s="294"/>
      <c r="H19" s="294"/>
      <c r="I19" s="294"/>
      <c r="J19" s="294"/>
      <c r="K19" s="293">
        <f t="shared" si="0"/>
        <v>0</v>
      </c>
      <c r="L19"/>
    </row>
    <row r="20" spans="1:12" x14ac:dyDescent="0.25">
      <c r="A20" s="283"/>
      <c r="B20" s="256">
        <v>7</v>
      </c>
      <c r="C20" s="443" t="s">
        <v>226</v>
      </c>
      <c r="D20" s="444"/>
      <c r="E20" s="445"/>
      <c r="F20" s="290"/>
      <c r="G20" s="293"/>
      <c r="H20" s="293"/>
      <c r="I20" s="293"/>
      <c r="J20" s="293"/>
      <c r="K20" s="293">
        <f t="shared" si="0"/>
        <v>0</v>
      </c>
      <c r="L20"/>
    </row>
    <row r="21" spans="1:12" x14ac:dyDescent="0.25">
      <c r="A21" s="283"/>
      <c r="B21" s="256">
        <v>8</v>
      </c>
      <c r="C21" s="443" t="s">
        <v>227</v>
      </c>
      <c r="D21" s="444"/>
      <c r="E21" s="445"/>
      <c r="F21" s="290"/>
      <c r="G21" s="293"/>
      <c r="H21" s="293"/>
      <c r="I21" s="293"/>
      <c r="J21" s="293"/>
      <c r="K21" s="293">
        <f t="shared" si="0"/>
        <v>0</v>
      </c>
      <c r="L21"/>
    </row>
    <row r="22" spans="1:12" x14ac:dyDescent="0.25">
      <c r="A22" s="283"/>
      <c r="B22" s="256">
        <v>9</v>
      </c>
      <c r="C22" s="443" t="s">
        <v>225</v>
      </c>
      <c r="D22" s="444"/>
      <c r="E22" s="445"/>
      <c r="F22" s="290"/>
      <c r="G22" s="293"/>
      <c r="H22" s="293"/>
      <c r="I22" s="293"/>
      <c r="J22" s="293"/>
      <c r="K22" s="293">
        <f t="shared" si="0"/>
        <v>0</v>
      </c>
      <c r="L22"/>
    </row>
    <row r="23" spans="1:12" x14ac:dyDescent="0.25">
      <c r="A23" s="281"/>
      <c r="B23" s="277">
        <v>10</v>
      </c>
      <c r="C23" s="432" t="s">
        <v>140</v>
      </c>
      <c r="D23" s="432"/>
      <c r="E23" s="432"/>
      <c r="F23" s="294">
        <f>SUM(G33:G132)</f>
        <v>3223688</v>
      </c>
      <c r="G23" s="293">
        <f>SUM(H33:H132)</f>
        <v>193248</v>
      </c>
      <c r="H23" s="293">
        <f>SUM(I33:I132)</f>
        <v>0</v>
      </c>
      <c r="I23" s="293">
        <f>SUM(J33:J132)</f>
        <v>0</v>
      </c>
      <c r="J23" s="293">
        <f>SUM(K33:K132)</f>
        <v>0</v>
      </c>
      <c r="K23" s="293">
        <f t="shared" si="0"/>
        <v>3416936</v>
      </c>
      <c r="L23"/>
    </row>
    <row r="24" spans="1:12" ht="30.95" customHeight="1" x14ac:dyDescent="0.25">
      <c r="A24" s="281"/>
      <c r="B24" s="277">
        <v>11</v>
      </c>
      <c r="C24" s="433" t="s">
        <v>223</v>
      </c>
      <c r="D24" s="434"/>
      <c r="E24" s="435"/>
      <c r="F24" s="7">
        <f>SUM(F14:F16,F18:F23)</f>
        <v>3699603</v>
      </c>
      <c r="G24" s="7">
        <f>SUM(G14:G16,G18:G23)</f>
        <v>193248</v>
      </c>
      <c r="H24" s="43">
        <f t="shared" ref="H24:J24" si="1">SUM(H14:H16,H18:H23)</f>
        <v>0</v>
      </c>
      <c r="I24" s="7">
        <f t="shared" si="1"/>
        <v>0</v>
      </c>
      <c r="J24" s="7">
        <f t="shared" si="1"/>
        <v>0</v>
      </c>
      <c r="K24" s="7">
        <f>SUM(K14:K16,K18:K23)</f>
        <v>3892851</v>
      </c>
      <c r="L24"/>
    </row>
    <row r="25" spans="1:12" s="325" customFormat="1" ht="30.95" customHeight="1" x14ac:dyDescent="0.25">
      <c r="A25" s="281"/>
      <c r="B25" s="277">
        <v>12</v>
      </c>
      <c r="C25" s="440" t="s">
        <v>283</v>
      </c>
      <c r="D25" s="440"/>
      <c r="E25" s="440"/>
      <c r="F25" s="7">
        <f>SUM(F14:F16,F18,F23)</f>
        <v>3699603</v>
      </c>
      <c r="G25" s="299">
        <f t="shared" ref="G25:J25" si="2">SUM(G14:G16,G18,G23)</f>
        <v>193248</v>
      </c>
      <c r="H25" s="299">
        <f t="shared" si="2"/>
        <v>0</v>
      </c>
      <c r="I25" s="299">
        <f t="shared" si="2"/>
        <v>0</v>
      </c>
      <c r="J25" s="7">
        <f t="shared" si="2"/>
        <v>0</v>
      </c>
      <c r="K25" s="7">
        <f>SUM(K14:K16,K18,K23)</f>
        <v>3892851</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9" t="s">
        <v>166</v>
      </c>
      <c r="E31" s="439"/>
      <c r="F31" s="439"/>
      <c r="G31" s="344" t="s">
        <v>28</v>
      </c>
      <c r="H31" s="436" t="s">
        <v>30</v>
      </c>
      <c r="I31" s="437"/>
      <c r="J31" s="437"/>
      <c r="K31" s="438"/>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65</v>
      </c>
      <c r="D33" s="395" t="s">
        <v>328</v>
      </c>
      <c r="E33" s="395"/>
      <c r="F33" s="297" t="s">
        <v>103</v>
      </c>
      <c r="G33" s="291">
        <v>1132818</v>
      </c>
      <c r="H33" s="291"/>
      <c r="I33" s="291"/>
      <c r="J33" s="318"/>
      <c r="K33" s="291"/>
      <c r="L33" s="293">
        <f>SUM(G33:K33)</f>
        <v>1132818</v>
      </c>
    </row>
    <row r="34" spans="1:12" s="359" customFormat="1" x14ac:dyDescent="0.25">
      <c r="A34" s="281"/>
      <c r="B34" s="295">
        <v>2</v>
      </c>
      <c r="C34" s="296">
        <f t="shared" si="3"/>
        <v>65</v>
      </c>
      <c r="D34" s="395" t="s">
        <v>333</v>
      </c>
      <c r="E34" s="395"/>
      <c r="F34" s="297" t="s">
        <v>102</v>
      </c>
      <c r="G34" s="291">
        <v>1520413</v>
      </c>
      <c r="H34" s="291">
        <v>172282</v>
      </c>
      <c r="I34" s="291"/>
      <c r="J34" s="318"/>
      <c r="K34" s="291"/>
      <c r="L34" s="293">
        <f t="shared" ref="L34:L97" si="4">SUM(G34:K34)</f>
        <v>1692695</v>
      </c>
    </row>
    <row r="35" spans="1:12" s="359" customFormat="1" x14ac:dyDescent="0.25">
      <c r="A35" s="281"/>
      <c r="B35" s="295">
        <v>3</v>
      </c>
      <c r="C35" s="296">
        <f t="shared" si="3"/>
        <v>65</v>
      </c>
      <c r="D35" s="395" t="s">
        <v>329</v>
      </c>
      <c r="E35" s="395"/>
      <c r="F35" s="297" t="s">
        <v>102</v>
      </c>
      <c r="G35" s="291">
        <v>324050</v>
      </c>
      <c r="H35" s="291">
        <v>20966</v>
      </c>
      <c r="I35" s="291"/>
      <c r="J35" s="318"/>
      <c r="K35" s="291"/>
      <c r="L35" s="293">
        <f t="shared" si="4"/>
        <v>345016</v>
      </c>
    </row>
    <row r="36" spans="1:12" s="359" customFormat="1" x14ac:dyDescent="0.25">
      <c r="A36" s="281"/>
      <c r="B36" s="295">
        <v>4</v>
      </c>
      <c r="C36" s="296">
        <f t="shared" si="3"/>
        <v>65</v>
      </c>
      <c r="D36" s="395" t="s">
        <v>330</v>
      </c>
      <c r="E36" s="395"/>
      <c r="F36" s="297" t="s">
        <v>103</v>
      </c>
      <c r="G36" s="291">
        <v>136238</v>
      </c>
      <c r="H36" s="291"/>
      <c r="I36" s="291"/>
      <c r="J36" s="318"/>
      <c r="K36" s="291"/>
      <c r="L36" s="293">
        <f t="shared" si="4"/>
        <v>136238</v>
      </c>
    </row>
    <row r="37" spans="1:12" s="359" customFormat="1" x14ac:dyDescent="0.25">
      <c r="A37" s="281"/>
      <c r="B37" s="295">
        <v>5</v>
      </c>
      <c r="C37" s="296">
        <f t="shared" si="3"/>
        <v>65</v>
      </c>
      <c r="D37" s="395" t="s">
        <v>331</v>
      </c>
      <c r="E37" s="395"/>
      <c r="F37" s="297" t="s">
        <v>103</v>
      </c>
      <c r="G37" s="291">
        <v>80283</v>
      </c>
      <c r="H37" s="291"/>
      <c r="I37" s="291"/>
      <c r="J37" s="318"/>
      <c r="K37" s="291"/>
      <c r="L37" s="293">
        <f t="shared" si="4"/>
        <v>80283</v>
      </c>
    </row>
    <row r="38" spans="1:12" s="359" customFormat="1" x14ac:dyDescent="0.25">
      <c r="A38" s="281"/>
      <c r="B38" s="295">
        <v>6</v>
      </c>
      <c r="C38" s="296">
        <f t="shared" si="3"/>
        <v>65</v>
      </c>
      <c r="D38" s="395" t="s">
        <v>341</v>
      </c>
      <c r="E38" s="395" t="s">
        <v>332</v>
      </c>
      <c r="F38" s="297" t="s">
        <v>103</v>
      </c>
      <c r="G38" s="291">
        <v>29886</v>
      </c>
      <c r="H38" s="291"/>
      <c r="I38" s="291"/>
      <c r="J38" s="318"/>
      <c r="K38" s="291"/>
      <c r="L38" s="293">
        <f t="shared" si="4"/>
        <v>29886</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G26" zoomScale="67" zoomScaleNormal="67" zoomScaleSheetLayoutView="40" zoomScalePageLayoutView="80" workbookViewId="0">
      <selection activeCell="F29" sqref="F29"/>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1" t="s">
        <v>1</v>
      </c>
      <c r="C7" s="442"/>
      <c r="D7" s="9" t="str">
        <f>IF(ISBLANK('1. Information'!D8),"",'1. Information'!D8)</f>
        <v>Berkeley City</v>
      </c>
      <c r="F7" s="94" t="s">
        <v>2</v>
      </c>
      <c r="G7" s="109">
        <f>IF(ISBLANK('1. Information'!D7),"",'1. Information'!D7)</f>
        <v>43455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1" t="s">
        <v>30</v>
      </c>
      <c r="H12" s="439"/>
      <c r="I12" s="439"/>
      <c r="J12" s="442"/>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6" t="s">
        <v>3</v>
      </c>
      <c r="D14" s="446"/>
      <c r="E14" s="443"/>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6" t="s">
        <v>133</v>
      </c>
      <c r="D15" s="446"/>
      <c r="E15" s="443"/>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8">
        <v>277004.40999999997</v>
      </c>
      <c r="G16" s="387"/>
      <c r="H16" s="387"/>
      <c r="I16" s="387"/>
      <c r="J16" s="387"/>
      <c r="K16" s="292">
        <f t="shared" si="0"/>
        <v>277004.40999999997</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6" t="s">
        <v>228</v>
      </c>
      <c r="D17" s="446"/>
      <c r="E17" s="443"/>
      <c r="F17" s="291">
        <v>42128</v>
      </c>
      <c r="G17" s="387"/>
      <c r="H17" s="387"/>
      <c r="I17" s="387"/>
      <c r="J17" s="387"/>
      <c r="K17" s="292">
        <f t="shared" si="0"/>
        <v>42128</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6" t="s">
        <v>215</v>
      </c>
      <c r="D18" s="446"/>
      <c r="E18" s="443"/>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6" t="s">
        <v>217</v>
      </c>
      <c r="D19" s="446"/>
      <c r="E19" s="443"/>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2" t="s">
        <v>150</v>
      </c>
      <c r="D20" s="432"/>
      <c r="E20" s="432"/>
      <c r="F20" s="315">
        <f>SUMIF($G$36:$G$135,"Combined Summary",L$36:L$135) + SUMIF($F$36:$F$135,"Standalone",L$36:L$135)</f>
        <v>825054.64</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825054.64</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1102059.05</v>
      </c>
      <c r="G21" s="8">
        <f t="shared" ref="G21:K21" si="1">SUM(G14:G16,G19:G20)</f>
        <v>0</v>
      </c>
      <c r="H21" s="8">
        <f t="shared" si="1"/>
        <v>0</v>
      </c>
      <c r="I21" s="8">
        <f t="shared" si="1"/>
        <v>0</v>
      </c>
      <c r="J21" s="8">
        <f t="shared" si="1"/>
        <v>0</v>
      </c>
      <c r="K21" s="8">
        <f t="shared" si="1"/>
        <v>1102059.05</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0.59438076616674951</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9" t="s">
        <v>165</v>
      </c>
      <c r="E34" s="439"/>
      <c r="F34" s="439"/>
      <c r="G34" s="439"/>
      <c r="H34" s="439"/>
      <c r="I34" s="439"/>
      <c r="J34" s="439"/>
      <c r="K34" s="439"/>
      <c r="L34" s="340" t="s">
        <v>28</v>
      </c>
      <c r="M34" s="441" t="s">
        <v>30</v>
      </c>
      <c r="N34" s="439"/>
      <c r="O34" s="439"/>
      <c r="P34" s="442"/>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65</v>
      </c>
      <c r="D36" s="337" t="s">
        <v>336</v>
      </c>
      <c r="E36" s="395"/>
      <c r="F36" s="416" t="s">
        <v>144</v>
      </c>
      <c r="G36" s="417" t="s">
        <v>230</v>
      </c>
      <c r="H36" s="417" t="s">
        <v>136</v>
      </c>
      <c r="I36" s="134">
        <v>0.25</v>
      </c>
      <c r="J36" s="134">
        <v>1</v>
      </c>
      <c r="K36" s="350">
        <f>IF(OR(G36="Combined Summary",F36="Standalone"),(SUMPRODUCT(--(D$36:D$135=D36),I$36:I$135,J$36:J$135)),"")</f>
        <v>1</v>
      </c>
      <c r="L36" s="291">
        <v>25422.29</v>
      </c>
      <c r="M36" s="352"/>
      <c r="N36" s="116"/>
      <c r="O36" s="116"/>
      <c r="P36" s="116"/>
      <c r="Q36" s="351">
        <f>SUM(L36:P36)</f>
        <v>25422.29</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65</v>
      </c>
      <c r="D37" s="337" t="s">
        <v>336</v>
      </c>
      <c r="E37" s="395"/>
      <c r="F37" s="416" t="s">
        <v>144</v>
      </c>
      <c r="G37" s="417" t="s">
        <v>230</v>
      </c>
      <c r="H37" s="417" t="s">
        <v>137</v>
      </c>
      <c r="I37" s="134">
        <v>0.75</v>
      </c>
      <c r="J37" s="134">
        <v>1</v>
      </c>
      <c r="K37" s="350">
        <f t="shared" ref="K37:K100" si="3">IF(OR(G37="Combined Summary",F37="Standalone"),(SUMPRODUCT(--(D$36:D$135=D37),I$36:I$135,J$36:J$135)),"")</f>
        <v>1</v>
      </c>
      <c r="L37" s="291">
        <v>76266.87</v>
      </c>
      <c r="M37" s="352"/>
      <c r="N37" s="116"/>
      <c r="O37" s="116"/>
      <c r="P37" s="116"/>
      <c r="Q37" s="351">
        <f t="shared" ref="Q37:Q100" si="4">SUM(L37:P37)</f>
        <v>76266.87</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65</v>
      </c>
      <c r="D38" s="337" t="s">
        <v>335</v>
      </c>
      <c r="E38" s="395"/>
      <c r="F38" s="416" t="s">
        <v>144</v>
      </c>
      <c r="G38" s="417" t="s">
        <v>230</v>
      </c>
      <c r="H38" s="417" t="s">
        <v>136</v>
      </c>
      <c r="I38" s="134">
        <v>0.25</v>
      </c>
      <c r="J38" s="134">
        <v>1</v>
      </c>
      <c r="K38" s="350">
        <f t="shared" si="3"/>
        <v>1</v>
      </c>
      <c r="L38" s="291">
        <v>97910.5</v>
      </c>
      <c r="M38" s="352"/>
      <c r="N38" s="116"/>
      <c r="O38" s="116"/>
      <c r="P38" s="116"/>
      <c r="Q38" s="351">
        <f t="shared" si="4"/>
        <v>97910.5</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65</v>
      </c>
      <c r="D39" s="337" t="s">
        <v>335</v>
      </c>
      <c r="E39" s="395"/>
      <c r="F39" s="416" t="s">
        <v>144</v>
      </c>
      <c r="G39" s="417" t="s">
        <v>230</v>
      </c>
      <c r="H39" s="417" t="s">
        <v>137</v>
      </c>
      <c r="I39" s="134">
        <v>0.5</v>
      </c>
      <c r="J39" s="134">
        <v>1</v>
      </c>
      <c r="K39" s="350">
        <f t="shared" si="3"/>
        <v>1</v>
      </c>
      <c r="L39" s="291">
        <v>195821.01</v>
      </c>
      <c r="M39" s="352"/>
      <c r="N39" s="116"/>
      <c r="O39" s="116"/>
      <c r="P39" s="116"/>
      <c r="Q39" s="351">
        <f t="shared" si="4"/>
        <v>195821.01</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65</v>
      </c>
      <c r="D40" s="337" t="s">
        <v>335</v>
      </c>
      <c r="E40" s="395"/>
      <c r="F40" s="416" t="s">
        <v>144</v>
      </c>
      <c r="G40" s="417" t="s">
        <v>230</v>
      </c>
      <c r="H40" s="417" t="s">
        <v>145</v>
      </c>
      <c r="I40" s="134">
        <v>0.25</v>
      </c>
      <c r="J40" s="134">
        <v>1</v>
      </c>
      <c r="K40" s="350">
        <f t="shared" si="3"/>
        <v>1</v>
      </c>
      <c r="L40" s="291">
        <v>97910.5</v>
      </c>
      <c r="M40" s="352"/>
      <c r="N40" s="116"/>
      <c r="O40" s="116"/>
      <c r="P40" s="116"/>
      <c r="Q40" s="351">
        <f t="shared" si="4"/>
        <v>97910.5</v>
      </c>
      <c r="R40" s="409">
        <f t="shared" si="5"/>
        <v>1</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65</v>
      </c>
      <c r="D41" s="337" t="s">
        <v>337</v>
      </c>
      <c r="E41" s="395"/>
      <c r="F41" s="416" t="s">
        <v>143</v>
      </c>
      <c r="G41" s="416" t="s">
        <v>137</v>
      </c>
      <c r="H41" s="416"/>
      <c r="I41" s="134">
        <v>1</v>
      </c>
      <c r="J41" s="134">
        <v>1</v>
      </c>
      <c r="K41" s="350">
        <f t="shared" si="3"/>
        <v>1</v>
      </c>
      <c r="L41" s="291">
        <v>9310.8700000000008</v>
      </c>
      <c r="M41" s="352"/>
      <c r="N41" s="116"/>
      <c r="O41" s="116"/>
      <c r="P41" s="116"/>
      <c r="Q41" s="351">
        <f t="shared" si="4"/>
        <v>9310.8700000000008</v>
      </c>
      <c r="R41" s="409">
        <f t="shared" si="5"/>
        <v>1</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f t="shared" si="2"/>
        <v>65</v>
      </c>
      <c r="D42" s="337" t="s">
        <v>338</v>
      </c>
      <c r="E42" s="395"/>
      <c r="F42" s="416" t="s">
        <v>143</v>
      </c>
      <c r="G42" s="417" t="s">
        <v>137</v>
      </c>
      <c r="H42" s="416"/>
      <c r="I42" s="134">
        <v>1</v>
      </c>
      <c r="J42" s="134">
        <v>1</v>
      </c>
      <c r="K42" s="350">
        <f t="shared" si="3"/>
        <v>1</v>
      </c>
      <c r="L42" s="291">
        <v>55000</v>
      </c>
      <c r="M42" s="352"/>
      <c r="N42" s="116"/>
      <c r="O42" s="116"/>
      <c r="P42" s="116"/>
      <c r="Q42" s="351">
        <f t="shared" si="4"/>
        <v>55000</v>
      </c>
      <c r="R42" s="409">
        <f t="shared" si="5"/>
        <v>1</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65</v>
      </c>
      <c r="D43" s="337" t="s">
        <v>339</v>
      </c>
      <c r="E43" s="395"/>
      <c r="F43" s="416" t="s">
        <v>143</v>
      </c>
      <c r="G43" s="417" t="s">
        <v>137</v>
      </c>
      <c r="H43" s="417"/>
      <c r="I43" s="134">
        <v>1</v>
      </c>
      <c r="J43" s="134">
        <v>0.4</v>
      </c>
      <c r="K43" s="350">
        <f t="shared" si="3"/>
        <v>0.4</v>
      </c>
      <c r="L43" s="291">
        <v>118712</v>
      </c>
      <c r="M43" s="352"/>
      <c r="N43" s="116"/>
      <c r="O43" s="116"/>
      <c r="P43" s="116"/>
      <c r="Q43" s="351">
        <f t="shared" si="4"/>
        <v>118712</v>
      </c>
      <c r="R43" s="409">
        <f t="shared" si="5"/>
        <v>1</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65</v>
      </c>
      <c r="D44" s="337" t="s">
        <v>340</v>
      </c>
      <c r="E44" s="395"/>
      <c r="F44" s="416" t="s">
        <v>143</v>
      </c>
      <c r="G44" s="417" t="s">
        <v>132</v>
      </c>
      <c r="H44" s="417"/>
      <c r="I44" s="134">
        <v>1</v>
      </c>
      <c r="J44" s="134">
        <v>0.35</v>
      </c>
      <c r="K44" s="350">
        <f t="shared" si="3"/>
        <v>0.35</v>
      </c>
      <c r="L44" s="291">
        <v>142616.75</v>
      </c>
      <c r="M44" s="352"/>
      <c r="N44" s="116"/>
      <c r="O44" s="116"/>
      <c r="P44" s="116"/>
      <c r="Q44" s="351">
        <f t="shared" si="4"/>
        <v>142616.75</v>
      </c>
      <c r="R44" s="409">
        <f t="shared" si="5"/>
        <v>1</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65</v>
      </c>
      <c r="D45" s="337" t="s">
        <v>344</v>
      </c>
      <c r="E45" s="395"/>
      <c r="F45" s="416" t="s">
        <v>143</v>
      </c>
      <c r="G45" s="417" t="s">
        <v>146</v>
      </c>
      <c r="H45" s="417"/>
      <c r="I45" s="134">
        <v>1</v>
      </c>
      <c r="J45" s="134">
        <v>0</v>
      </c>
      <c r="K45" s="350">
        <f t="shared" si="3"/>
        <v>0</v>
      </c>
      <c r="L45" s="291">
        <v>6083.85</v>
      </c>
      <c r="M45" s="352"/>
      <c r="N45" s="116"/>
      <c r="O45" s="116"/>
      <c r="P45" s="116"/>
      <c r="Q45" s="351">
        <f t="shared" si="4"/>
        <v>6083.85</v>
      </c>
      <c r="R45" s="409">
        <f t="shared" si="5"/>
        <v>1</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10" zoomScale="70" zoomScaleNormal="70" zoomScaleSheetLayoutView="40" workbookViewId="0">
      <selection activeCell="E30" sqref="E30"/>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1" t="s">
        <v>1</v>
      </c>
      <c r="C7" s="431"/>
      <c r="D7" s="9" t="str">
        <f>IF(ISBLANK('1. Information'!D8),"",'1. Information'!D8)</f>
        <v>Berkeley City</v>
      </c>
      <c r="F7" s="94" t="s">
        <v>2</v>
      </c>
      <c r="G7" s="109">
        <f>IF(ISBLANK('1. Information'!D7),"",'1. Information'!D7)</f>
        <v>43455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9" t="s">
        <v>30</v>
      </c>
      <c r="H12" s="439"/>
      <c r="I12" s="439"/>
      <c r="J12" s="442"/>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6" t="s">
        <v>160</v>
      </c>
      <c r="D14" s="446"/>
      <c r="E14" s="446"/>
      <c r="F14" s="290"/>
      <c r="G14" s="45"/>
      <c r="H14" s="29"/>
      <c r="I14" s="29"/>
      <c r="J14" s="309"/>
      <c r="K14" s="293">
        <f>SUM(F14:J14)</f>
        <v>0</v>
      </c>
      <c r="L14"/>
      <c r="M14"/>
      <c r="N14"/>
      <c r="O14" s="108"/>
      <c r="P14" s="108"/>
    </row>
    <row r="15" spans="2:16" ht="15.75" x14ac:dyDescent="0.25">
      <c r="B15" s="101">
        <v>2</v>
      </c>
      <c r="C15" s="446" t="s">
        <v>161</v>
      </c>
      <c r="D15" s="446"/>
      <c r="E15" s="446"/>
      <c r="F15" s="29"/>
      <c r="G15" s="411"/>
      <c r="H15" s="412"/>
      <c r="I15" s="412"/>
      <c r="J15" s="413"/>
      <c r="K15" s="293">
        <f>SUM(F15:J15)</f>
        <v>0</v>
      </c>
      <c r="L15"/>
      <c r="M15"/>
      <c r="N15"/>
      <c r="O15" s="108"/>
      <c r="P15" s="108"/>
    </row>
    <row r="16" spans="2:16" ht="15.75" x14ac:dyDescent="0.25">
      <c r="B16" s="405">
        <v>3</v>
      </c>
      <c r="C16" s="443" t="s">
        <v>314</v>
      </c>
      <c r="D16" s="444"/>
      <c r="E16" s="445"/>
      <c r="F16" s="367"/>
      <c r="G16" s="19"/>
      <c r="H16" s="19"/>
      <c r="I16" s="19"/>
      <c r="J16" s="19"/>
      <c r="K16" s="293">
        <f>SUM(F16:J16)</f>
        <v>0</v>
      </c>
      <c r="L16" s="404"/>
      <c r="M16" s="404"/>
      <c r="N16" s="404"/>
      <c r="O16" s="108"/>
      <c r="P16" s="108"/>
    </row>
    <row r="17" spans="2:17" ht="15.75" x14ac:dyDescent="0.25">
      <c r="B17" s="405">
        <v>4</v>
      </c>
      <c r="C17" s="443" t="s">
        <v>315</v>
      </c>
      <c r="D17" s="444"/>
      <c r="E17" s="445"/>
      <c r="F17" s="410"/>
      <c r="G17" s="19"/>
      <c r="H17" s="19"/>
      <c r="I17" s="19"/>
      <c r="J17" s="19"/>
      <c r="K17" s="293">
        <f>SUM(F17:J17)</f>
        <v>0</v>
      </c>
      <c r="L17" s="404"/>
      <c r="M17" s="404"/>
      <c r="N17" s="404"/>
      <c r="O17" s="108"/>
      <c r="P17" s="108"/>
    </row>
    <row r="18" spans="2:17" ht="15.75" x14ac:dyDescent="0.25">
      <c r="B18" s="101">
        <v>5</v>
      </c>
      <c r="C18" s="446" t="s">
        <v>162</v>
      </c>
      <c r="D18" s="446"/>
      <c r="E18" s="446"/>
      <c r="F18" s="28">
        <f>SUMIF($J$29:$J$132,"Project Administration",K$29:K$132)</f>
        <v>32773</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32773</v>
      </c>
      <c r="L18"/>
      <c r="M18"/>
      <c r="N18"/>
      <c r="O18" s="108"/>
      <c r="P18" s="108"/>
    </row>
    <row r="19" spans="2:17" ht="15.75" x14ac:dyDescent="0.25">
      <c r="B19" s="101">
        <v>6</v>
      </c>
      <c r="C19" s="446" t="s">
        <v>163</v>
      </c>
      <c r="D19" s="446"/>
      <c r="E19" s="446"/>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6" t="s">
        <v>236</v>
      </c>
      <c r="D20" s="446"/>
      <c r="E20" s="446"/>
      <c r="F20" s="19">
        <f>SUMIF($J$29:$J$132,"Project Direct",K$29:K$132)</f>
        <v>0</v>
      </c>
      <c r="G20" s="47">
        <f>SUMIF($J$29:$J$132,"Project Direct",L$29:L$132)</f>
        <v>0</v>
      </c>
      <c r="H20" s="19">
        <f>SUMIF($J$29:$J$132,"Project Direct",M$29:M$132)</f>
        <v>0</v>
      </c>
      <c r="I20" s="19">
        <f>SUMIF($J$29:$J$132,"Project Direct",N$29:N$132)</f>
        <v>0</v>
      </c>
      <c r="J20" s="19">
        <f>SUMIF($J$29:$J$132,"Project Direct",O$29:O$132)</f>
        <v>0</v>
      </c>
      <c r="K20" s="293">
        <f t="shared" si="0"/>
        <v>0</v>
      </c>
      <c r="L20"/>
      <c r="M20"/>
      <c r="N20"/>
      <c r="O20" s="108"/>
      <c r="P20" s="108"/>
    </row>
    <row r="21" spans="2:17" ht="15.75" x14ac:dyDescent="0.25">
      <c r="B21" s="101">
        <v>8</v>
      </c>
      <c r="C21" s="459" t="s">
        <v>164</v>
      </c>
      <c r="D21" s="459"/>
      <c r="E21" s="459"/>
      <c r="F21" s="18">
        <f>SUM(F18:F20)</f>
        <v>32773</v>
      </c>
      <c r="G21" s="48">
        <f>SUM(G18:G20)</f>
        <v>0</v>
      </c>
      <c r="H21" s="18">
        <f>SUM(H18:H20)</f>
        <v>0</v>
      </c>
      <c r="I21" s="18">
        <f>SUM(I18:I20)</f>
        <v>0</v>
      </c>
      <c r="J21" s="18">
        <f t="shared" ref="J21" si="1">SUM(J18:J20)</f>
        <v>0</v>
      </c>
      <c r="K21" s="18">
        <f t="shared" ref="K21" si="2">SUM(K18:K20)</f>
        <v>32773</v>
      </c>
      <c r="L21"/>
      <c r="M21"/>
      <c r="N21"/>
      <c r="O21" s="108"/>
      <c r="P21" s="108"/>
    </row>
    <row r="22" spans="2:17" ht="30.95" customHeight="1" x14ac:dyDescent="0.25">
      <c r="B22" s="101">
        <v>9</v>
      </c>
      <c r="C22" s="456" t="s">
        <v>316</v>
      </c>
      <c r="D22" s="456"/>
      <c r="E22" s="456"/>
      <c r="F22" s="20">
        <f t="shared" ref="F22:K22" si="3">SUM(F14:F15,F17,F18:F20)</f>
        <v>32773</v>
      </c>
      <c r="G22" s="20">
        <f t="shared" si="3"/>
        <v>0</v>
      </c>
      <c r="H22" s="20">
        <f t="shared" si="3"/>
        <v>0</v>
      </c>
      <c r="I22" s="20">
        <f t="shared" si="3"/>
        <v>0</v>
      </c>
      <c r="J22" s="20">
        <f t="shared" si="3"/>
        <v>0</v>
      </c>
      <c r="K22" s="20">
        <f t="shared" si="3"/>
        <v>32773</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65</v>
      </c>
      <c r="D29" s="395" t="s">
        <v>334</v>
      </c>
      <c r="E29" s="421" t="s">
        <v>345</v>
      </c>
      <c r="F29" s="138">
        <v>42516</v>
      </c>
      <c r="G29" s="138">
        <v>42522</v>
      </c>
      <c r="H29" s="116">
        <v>180000</v>
      </c>
      <c r="I29" s="116">
        <v>180000</v>
      </c>
      <c r="J29" s="118" t="s">
        <v>158</v>
      </c>
      <c r="K29" s="120">
        <v>32773</v>
      </c>
      <c r="L29" s="120"/>
      <c r="M29" s="116"/>
      <c r="N29" s="116"/>
      <c r="O29" s="129"/>
      <c r="P29" s="293">
        <f t="shared" ref="P29:P64" si="4">SUM(K29:O29)</f>
        <v>32773</v>
      </c>
    </row>
    <row r="30" spans="2:17" x14ac:dyDescent="0.2">
      <c r="B30" s="123">
        <v>1</v>
      </c>
      <c r="C30" s="139">
        <f t="shared" ref="C30:I31" si="5">IF(ISBLANK(C29),"",C29)</f>
        <v>65</v>
      </c>
      <c r="D30" s="397" t="str">
        <f t="shared" si="5"/>
        <v>Trauma Informed Care</v>
      </c>
      <c r="E30" s="140" t="str">
        <f t="shared" si="5"/>
        <v>N/A</v>
      </c>
      <c r="F30" s="140">
        <f t="shared" si="5"/>
        <v>42516</v>
      </c>
      <c r="G30" s="140">
        <f t="shared" si="5"/>
        <v>42522</v>
      </c>
      <c r="H30" s="122">
        <f t="shared" si="5"/>
        <v>180000</v>
      </c>
      <c r="I30" s="122">
        <f t="shared" si="5"/>
        <v>180000</v>
      </c>
      <c r="J30" s="119" t="s">
        <v>159</v>
      </c>
      <c r="K30" s="120"/>
      <c r="L30" s="120"/>
      <c r="M30" s="116"/>
      <c r="N30" s="116"/>
      <c r="O30" s="129"/>
      <c r="P30" s="293">
        <f t="shared" si="4"/>
        <v>0</v>
      </c>
    </row>
    <row r="31" spans="2:17" x14ac:dyDescent="0.2">
      <c r="B31" s="123">
        <v>1</v>
      </c>
      <c r="C31" s="139">
        <f t="shared" ref="C31:H31" si="6">IF(ISBLANK(C29),"",C29)</f>
        <v>65</v>
      </c>
      <c r="D31" s="398" t="str">
        <f t="shared" si="6"/>
        <v>Trauma Informed Care</v>
      </c>
      <c r="E31" s="141" t="str">
        <f t="shared" si="6"/>
        <v>N/A</v>
      </c>
      <c r="F31" s="141">
        <f t="shared" si="6"/>
        <v>42516</v>
      </c>
      <c r="G31" s="141">
        <f t="shared" si="6"/>
        <v>42522</v>
      </c>
      <c r="H31" s="119">
        <f t="shared" si="6"/>
        <v>180000</v>
      </c>
      <c r="I31" s="119">
        <f t="shared" si="5"/>
        <v>180000</v>
      </c>
      <c r="J31" s="119" t="s">
        <v>237</v>
      </c>
      <c r="K31" s="120"/>
      <c r="L31" s="120"/>
      <c r="M31" s="116"/>
      <c r="N31" s="116"/>
      <c r="O31" s="129"/>
      <c r="P31" s="293">
        <f t="shared" si="4"/>
        <v>0</v>
      </c>
    </row>
    <row r="32" spans="2:17" ht="15.75" x14ac:dyDescent="0.25">
      <c r="B32" s="96">
        <v>1</v>
      </c>
      <c r="C32" s="22">
        <f t="shared" ref="C32:I32" si="7">IF(ISBLANK(C29),"",C29)</f>
        <v>65</v>
      </c>
      <c r="D32" s="399" t="str">
        <f t="shared" si="7"/>
        <v>Trauma Informed Care</v>
      </c>
      <c r="E32" s="33" t="str">
        <f t="shared" si="7"/>
        <v>N/A</v>
      </c>
      <c r="F32" s="33">
        <f t="shared" si="7"/>
        <v>42516</v>
      </c>
      <c r="G32" s="33">
        <f t="shared" si="7"/>
        <v>42522</v>
      </c>
      <c r="H32" s="34">
        <f t="shared" si="7"/>
        <v>180000</v>
      </c>
      <c r="I32" s="34">
        <f t="shared" si="7"/>
        <v>180000</v>
      </c>
      <c r="J32" s="8" t="s">
        <v>263</v>
      </c>
      <c r="K32" s="50">
        <f>SUM(K29:K31)</f>
        <v>32773</v>
      </c>
      <c r="L32" s="50">
        <f>SUM(L29:L31)</f>
        <v>0</v>
      </c>
      <c r="M32" s="35">
        <f t="shared" ref="M32:O32" si="8">SUM(M29:M31)</f>
        <v>0</v>
      </c>
      <c r="N32" s="35">
        <f t="shared" si="8"/>
        <v>0</v>
      </c>
      <c r="O32" s="311">
        <f t="shared" si="8"/>
        <v>0</v>
      </c>
      <c r="P32" s="8">
        <f t="shared" si="4"/>
        <v>32773</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A8" zoomScale="70" zoomScaleNormal="70" zoomScaleSheetLayoutView="55" workbookViewId="0">
      <selection activeCell="F19" sqref="F19"/>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Berkeley City</v>
      </c>
      <c r="F7" s="94" t="s">
        <v>2</v>
      </c>
      <c r="G7" s="38">
        <f>IF(ISBLANK('1. Information'!D7),"",'1. Information'!D7)</f>
        <v>43455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6" t="s">
        <v>16</v>
      </c>
      <c r="D14" s="446"/>
      <c r="E14" s="443"/>
      <c r="F14" s="290"/>
      <c r="G14" s="142"/>
      <c r="H14" s="142"/>
      <c r="I14" s="142"/>
      <c r="J14" s="142"/>
      <c r="K14" s="292">
        <f>SUM(F14:J14)</f>
        <v>0</v>
      </c>
      <c r="L14"/>
      <c r="M14"/>
      <c r="N14" s="108"/>
      <c r="O14" s="108"/>
    </row>
    <row r="15" spans="1:22" ht="15.75" x14ac:dyDescent="0.25">
      <c r="A15" s="108"/>
      <c r="B15" s="101">
        <v>2</v>
      </c>
      <c r="C15" s="446" t="s">
        <v>17</v>
      </c>
      <c r="D15" s="446"/>
      <c r="E15" s="443"/>
      <c r="F15" s="290"/>
      <c r="G15" s="142"/>
      <c r="H15" s="142"/>
      <c r="I15" s="142"/>
      <c r="J15" s="142"/>
      <c r="K15" s="292">
        <f t="shared" ref="K15:K19" si="0">SUM(F15:J15)</f>
        <v>0</v>
      </c>
      <c r="L15"/>
      <c r="M15"/>
      <c r="N15" s="108"/>
      <c r="O15" s="108"/>
    </row>
    <row r="16" spans="1:22" ht="15.75" x14ac:dyDescent="0.25">
      <c r="A16" s="108"/>
      <c r="B16" s="101">
        <v>3</v>
      </c>
      <c r="C16" s="446" t="s">
        <v>238</v>
      </c>
      <c r="D16" s="446"/>
      <c r="E16" s="443"/>
      <c r="F16" s="290"/>
      <c r="G16" s="355"/>
      <c r="H16" s="355"/>
      <c r="I16" s="355"/>
      <c r="J16" s="355"/>
      <c r="K16" s="292">
        <f t="shared" si="0"/>
        <v>0</v>
      </c>
      <c r="L16"/>
      <c r="M16"/>
      <c r="N16" s="108"/>
      <c r="O16" s="108"/>
    </row>
    <row r="17" spans="1:22" ht="15.75" x14ac:dyDescent="0.25">
      <c r="A17" s="108"/>
      <c r="B17" s="101">
        <v>4</v>
      </c>
      <c r="C17" s="446" t="s">
        <v>221</v>
      </c>
      <c r="D17" s="446"/>
      <c r="E17" s="443"/>
      <c r="F17" s="367"/>
      <c r="G17" s="119"/>
      <c r="H17" s="119"/>
      <c r="I17" s="119"/>
      <c r="J17" s="119"/>
      <c r="K17" s="292">
        <f t="shared" si="0"/>
        <v>0</v>
      </c>
      <c r="L17"/>
      <c r="M17"/>
      <c r="N17" s="108"/>
      <c r="O17" s="108"/>
    </row>
    <row r="18" spans="1:22" ht="15.75" x14ac:dyDescent="0.25">
      <c r="A18" s="108"/>
      <c r="B18" s="101">
        <v>5</v>
      </c>
      <c r="C18" s="446" t="s">
        <v>222</v>
      </c>
      <c r="D18" s="446"/>
      <c r="E18" s="443"/>
      <c r="F18" s="367"/>
      <c r="G18" s="119"/>
      <c r="H18" s="119"/>
      <c r="I18" s="119"/>
      <c r="J18" s="119"/>
      <c r="K18" s="292">
        <f t="shared" si="0"/>
        <v>0</v>
      </c>
      <c r="L18"/>
      <c r="M18"/>
      <c r="N18" s="108"/>
      <c r="O18" s="108"/>
    </row>
    <row r="19" spans="1:22" ht="15.75" x14ac:dyDescent="0.25">
      <c r="A19" s="108"/>
      <c r="B19" s="101">
        <v>6</v>
      </c>
      <c r="C19" s="443" t="s">
        <v>174</v>
      </c>
      <c r="D19" s="444"/>
      <c r="E19" s="445"/>
      <c r="F19" s="122">
        <f>SUM(E28:E32)</f>
        <v>94609</v>
      </c>
      <c r="G19" s="121">
        <f t="shared" ref="G19:I19" si="1">SUM(F28:F32)</f>
        <v>0</v>
      </c>
      <c r="H19" s="122">
        <f t="shared" si="1"/>
        <v>0</v>
      </c>
      <c r="I19" s="122">
        <f t="shared" si="1"/>
        <v>0</v>
      </c>
      <c r="J19" s="122">
        <f>SUM(I28:I32)</f>
        <v>0</v>
      </c>
      <c r="K19" s="293">
        <f t="shared" si="0"/>
        <v>94609</v>
      </c>
      <c r="L19"/>
      <c r="M19"/>
      <c r="N19" s="108"/>
      <c r="O19" s="108"/>
    </row>
    <row r="20" spans="1:22" ht="30.95" customHeight="1" x14ac:dyDescent="0.25">
      <c r="A20" s="108"/>
      <c r="B20" s="101">
        <v>7</v>
      </c>
      <c r="C20" s="456" t="s">
        <v>220</v>
      </c>
      <c r="D20" s="456"/>
      <c r="E20" s="456"/>
      <c r="F20" s="8">
        <f>SUM(F14:F16,F18:F19)</f>
        <v>94609</v>
      </c>
      <c r="G20" s="43">
        <f t="shared" ref="G20:J20" si="2">SUM(G14:G16,G18:G19)</f>
        <v>0</v>
      </c>
      <c r="H20" s="7">
        <f t="shared" si="2"/>
        <v>0</v>
      </c>
      <c r="I20" s="7">
        <f t="shared" si="2"/>
        <v>0</v>
      </c>
      <c r="J20" s="7">
        <f t="shared" si="2"/>
        <v>0</v>
      </c>
      <c r="K20" s="8">
        <f>SUM(K14:K16,K18:K19)</f>
        <v>94609</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65</v>
      </c>
      <c r="D28" s="145" t="s">
        <v>105</v>
      </c>
      <c r="E28" s="117">
        <v>11901</v>
      </c>
      <c r="F28" s="120"/>
      <c r="G28" s="117"/>
      <c r="H28" s="117"/>
      <c r="I28" s="312"/>
      <c r="J28" s="119">
        <f>SUM(E28:I28)</f>
        <v>11901</v>
      </c>
      <c r="K28"/>
      <c r="L28"/>
      <c r="M28"/>
      <c r="N28"/>
      <c r="O28"/>
      <c r="P28"/>
      <c r="Q28"/>
      <c r="R28"/>
    </row>
    <row r="29" spans="1:22" ht="15.75" x14ac:dyDescent="0.25">
      <c r="A29" s="108"/>
      <c r="B29" s="101">
        <v>2</v>
      </c>
      <c r="C29" s="132">
        <f>IF(J29&lt;&gt;0,VLOOKUP($D$7,Info_County_Code,2,FALSE),"")</f>
        <v>65</v>
      </c>
      <c r="D29" s="145" t="s">
        <v>106</v>
      </c>
      <c r="E29" s="116">
        <v>70318</v>
      </c>
      <c r="F29" s="120"/>
      <c r="G29" s="116"/>
      <c r="H29" s="116"/>
      <c r="I29" s="313"/>
      <c r="J29" s="119">
        <f t="shared" ref="J29:J32" si="3">SUM(E29:I29)</f>
        <v>70318</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f>IF(J32&lt;&gt;0,VLOOKUP($D$7,Info_County_Code,2,FALSE),"")</f>
        <v>65</v>
      </c>
      <c r="D32" s="145" t="s">
        <v>109</v>
      </c>
      <c r="E32" s="116">
        <v>12390</v>
      </c>
      <c r="F32" s="120"/>
      <c r="G32" s="116"/>
      <c r="H32" s="116"/>
      <c r="I32" s="313"/>
      <c r="J32" s="119">
        <f t="shared" si="3"/>
        <v>12390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8" zoomScale="70" zoomScaleNormal="70" zoomScaleSheetLayoutView="40" workbookViewId="0">
      <selection activeCell="G29" sqref="G29"/>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Berkeley City</v>
      </c>
      <c r="E7" s="16"/>
      <c r="F7" s="95" t="s">
        <v>2</v>
      </c>
      <c r="G7" s="109">
        <f>IF(ISBLANK('1. Information'!D7),"",'1. Information'!D7)</f>
        <v>43455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1" t="s">
        <v>213</v>
      </c>
      <c r="H12" s="431"/>
      <c r="I12" s="431"/>
      <c r="J12" s="431"/>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6" t="s">
        <v>189</v>
      </c>
      <c r="D14" s="446"/>
      <c r="E14" s="443"/>
      <c r="F14" s="142"/>
      <c r="G14" s="142"/>
      <c r="H14" s="142"/>
      <c r="I14" s="142"/>
      <c r="J14" s="142"/>
      <c r="K14" s="118">
        <f>SUM(F14:J14)</f>
        <v>0</v>
      </c>
      <c r="L14"/>
      <c r="M14"/>
      <c r="U14" s="108"/>
      <c r="V14" s="108"/>
      <c r="W14" s="108"/>
    </row>
    <row r="15" spans="2:23" x14ac:dyDescent="0.25">
      <c r="B15" s="101">
        <v>2</v>
      </c>
      <c r="C15" s="446" t="s">
        <v>188</v>
      </c>
      <c r="D15" s="446"/>
      <c r="E15" s="443"/>
      <c r="F15" s="142"/>
      <c r="G15" s="142"/>
      <c r="H15" s="142"/>
      <c r="I15" s="142"/>
      <c r="J15" s="142"/>
      <c r="K15" s="118">
        <f t="shared" ref="K15:K20" si="0">SUM(F15:J15)</f>
        <v>0</v>
      </c>
      <c r="L15"/>
      <c r="M15"/>
      <c r="U15" s="108"/>
      <c r="V15" s="108"/>
      <c r="W15" s="108"/>
    </row>
    <row r="16" spans="2:23" x14ac:dyDescent="0.25">
      <c r="B16" s="101">
        <v>3</v>
      </c>
      <c r="C16" s="446" t="s">
        <v>123</v>
      </c>
      <c r="D16" s="446"/>
      <c r="E16" s="443"/>
      <c r="F16" s="142"/>
      <c r="G16" s="142"/>
      <c r="H16" s="142"/>
      <c r="I16" s="142"/>
      <c r="J16" s="142"/>
      <c r="K16" s="118">
        <f t="shared" si="0"/>
        <v>0</v>
      </c>
      <c r="L16"/>
      <c r="M16"/>
      <c r="U16" s="108"/>
      <c r="V16" s="108"/>
      <c r="W16" s="108"/>
    </row>
    <row r="17" spans="2:23" x14ac:dyDescent="0.25">
      <c r="B17" s="101">
        <v>4</v>
      </c>
      <c r="C17" s="446" t="s">
        <v>122</v>
      </c>
      <c r="D17" s="446"/>
      <c r="E17" s="443"/>
      <c r="F17" s="142"/>
      <c r="G17" s="142"/>
      <c r="H17" s="142"/>
      <c r="I17" s="142"/>
      <c r="J17" s="142"/>
      <c r="K17" s="118">
        <f t="shared" si="0"/>
        <v>0</v>
      </c>
      <c r="L17"/>
      <c r="M17"/>
      <c r="U17" s="108"/>
      <c r="V17" s="108"/>
      <c r="W17" s="108"/>
    </row>
    <row r="18" spans="2:23" x14ac:dyDescent="0.25">
      <c r="B18" s="101">
        <v>5</v>
      </c>
      <c r="C18" s="446" t="s">
        <v>239</v>
      </c>
      <c r="D18" s="446"/>
      <c r="E18" s="443"/>
      <c r="F18" s="142"/>
      <c r="G18" s="142"/>
      <c r="H18" s="142"/>
      <c r="I18" s="142"/>
      <c r="J18" s="142"/>
      <c r="K18" s="118">
        <f t="shared" si="0"/>
        <v>0</v>
      </c>
      <c r="L18"/>
      <c r="M18"/>
      <c r="U18" s="108"/>
      <c r="V18" s="108"/>
      <c r="W18" s="108"/>
    </row>
    <row r="19" spans="2:23" x14ac:dyDescent="0.25">
      <c r="B19" s="101">
        <v>6</v>
      </c>
      <c r="C19" s="446" t="s">
        <v>240</v>
      </c>
      <c r="D19" s="446"/>
      <c r="E19" s="443"/>
      <c r="F19" s="142"/>
      <c r="G19" s="142"/>
      <c r="H19" s="142"/>
      <c r="I19" s="142"/>
      <c r="J19" s="355"/>
      <c r="K19" s="118">
        <f t="shared" si="0"/>
        <v>0</v>
      </c>
      <c r="L19"/>
      <c r="M19"/>
      <c r="U19" s="108"/>
      <c r="V19" s="108"/>
      <c r="W19" s="108"/>
    </row>
    <row r="20" spans="2:23" x14ac:dyDescent="0.25">
      <c r="B20" s="101">
        <v>7</v>
      </c>
      <c r="C20" s="446" t="s">
        <v>175</v>
      </c>
      <c r="D20" s="446"/>
      <c r="E20" s="446"/>
      <c r="F20" s="121">
        <f>SUM(G28:G47)</f>
        <v>1394835</v>
      </c>
      <c r="G20" s="121">
        <f>SUM(H28:H47)</f>
        <v>0</v>
      </c>
      <c r="H20" s="122">
        <f t="shared" ref="H20" si="1">SUM(I28:I47)</f>
        <v>0</v>
      </c>
      <c r="I20" s="122">
        <f>SUM(J28:J47)</f>
        <v>0</v>
      </c>
      <c r="J20" s="119">
        <f>SUM(K28:K47)</f>
        <v>0</v>
      </c>
      <c r="K20" s="118">
        <f t="shared" si="0"/>
        <v>1394835</v>
      </c>
      <c r="L20"/>
      <c r="M20"/>
      <c r="U20" s="108"/>
      <c r="V20" s="108"/>
      <c r="W20" s="108"/>
    </row>
    <row r="21" spans="2:23" ht="30.95" customHeight="1" x14ac:dyDescent="0.25">
      <c r="B21" s="101">
        <v>8</v>
      </c>
      <c r="C21" s="465" t="s">
        <v>20</v>
      </c>
      <c r="D21" s="465"/>
      <c r="E21" s="465"/>
      <c r="F21" s="43">
        <f>SUM(F14:F20)</f>
        <v>1394835</v>
      </c>
      <c r="G21" s="43">
        <f>SUM(G14:G20)</f>
        <v>0</v>
      </c>
      <c r="H21" s="7">
        <f t="shared" ref="H21:J21" si="2">SUM(H14:H20)</f>
        <v>0</v>
      </c>
      <c r="I21" s="7">
        <f t="shared" si="2"/>
        <v>0</v>
      </c>
      <c r="J21" s="299">
        <f t="shared" si="2"/>
        <v>0</v>
      </c>
      <c r="K21" s="7">
        <f t="shared" ref="K21" si="3">SUM(K14:K20)</f>
        <v>1394835</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65</v>
      </c>
      <c r="D28" s="395" t="s">
        <v>343</v>
      </c>
      <c r="E28" s="396"/>
      <c r="F28" s="125" t="s">
        <v>176</v>
      </c>
      <c r="G28" s="117">
        <v>1394835</v>
      </c>
      <c r="H28" s="126"/>
      <c r="I28" s="126"/>
      <c r="J28" s="117"/>
      <c r="K28" s="312"/>
      <c r="L28" s="316">
        <f>SUM(G28:K28)</f>
        <v>1394835</v>
      </c>
      <c r="M28"/>
      <c r="U28" s="108"/>
      <c r="V28" s="108"/>
      <c r="W28" s="108"/>
    </row>
    <row r="29" spans="2:23" x14ac:dyDescent="0.25">
      <c r="B29" s="101">
        <v>2</v>
      </c>
      <c r="C29" s="132" t="str">
        <f t="shared" si="4"/>
        <v/>
      </c>
      <c r="D29" s="395"/>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2018-07-27T17:17:03Z</cp:lastPrinted>
  <dcterms:created xsi:type="dcterms:W3CDTF">2017-07-05T19:48:18Z</dcterms:created>
  <dcterms:modified xsi:type="dcterms:W3CDTF">2019-05-21T21:00:05Z</dcterms:modified>
</cp:coreProperties>
</file>