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3"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22" l="1"/>
  <c r="K33" i="22"/>
  <c r="J34" i="22"/>
  <c r="J33" i="22"/>
  <c r="I34" i="22"/>
  <c r="I33" i="22"/>
  <c r="G34" i="22"/>
  <c r="G33" i="22"/>
  <c r="G35" i="22" s="1"/>
  <c r="H34" i="22"/>
  <c r="H33" i="22"/>
  <c r="L36" i="2"/>
  <c r="K31" i="3" l="1"/>
  <c r="E32" i="5"/>
  <c r="F16" i="5"/>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0" i="2" l="1"/>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P29" i="3" l="1"/>
  <c r="M22" i="19" l="1"/>
  <c r="N22" i="19" s="1"/>
  <c r="L34" i="19" l="1"/>
  <c r="L33" i="19"/>
  <c r="L32" i="19"/>
  <c r="L31" i="19"/>
  <c r="K34" i="19"/>
  <c r="K33" i="19"/>
  <c r="K32" i="19"/>
  <c r="K31" i="19"/>
  <c r="J34" i="19"/>
  <c r="J33" i="19"/>
  <c r="J32" i="19"/>
  <c r="J31" i="19"/>
  <c r="I35" i="19"/>
  <c r="L30" i="19" l="1"/>
  <c r="L35" i="19" s="1"/>
  <c r="J30" i="19"/>
  <c r="J35" i="19" s="1"/>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5" i="22"/>
  <c r="L36" i="22"/>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1" i="3"/>
  <c r="C122" i="3"/>
  <c r="C123" i="3"/>
  <c r="C128" i="3"/>
  <c r="P96" i="3"/>
  <c r="C93" i="3" s="1"/>
  <c r="C96" i="3" s="1"/>
  <c r="C94" i="3"/>
  <c r="C95" i="3"/>
  <c r="C90" i="3"/>
  <c r="C91" i="3"/>
  <c r="P36" i="3"/>
  <c r="C33" i="3" s="1"/>
  <c r="C107" i="3" l="1"/>
  <c r="C102" i="3"/>
  <c r="C119" i="3"/>
  <c r="C103" i="3"/>
  <c r="C127" i="3"/>
  <c r="C99" i="3"/>
  <c r="C106" i="3"/>
  <c r="C115" i="3"/>
  <c r="C98" i="3"/>
  <c r="C114" i="3"/>
  <c r="C129" i="3"/>
  <c r="C132" i="3" s="1"/>
  <c r="C118" i="3"/>
  <c r="C110" i="3"/>
  <c r="C131" i="3"/>
  <c r="C130" i="3"/>
  <c r="B3" i="20"/>
  <c r="B4" i="20"/>
  <c r="K30" i="19" l="1"/>
  <c r="K35" i="19" s="1"/>
  <c r="M27" i="19"/>
  <c r="D17" i="19" s="1"/>
  <c r="H27" i="19"/>
  <c r="G27" i="19"/>
  <c r="J15" i="7" l="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J31" i="5"/>
  <c r="C31" i="5" s="1"/>
  <c r="J30" i="5"/>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5" i="22" l="1"/>
  <c r="C36" i="22"/>
  <c r="J23" i="22"/>
  <c r="I23" i="22"/>
  <c r="H23" i="22"/>
  <c r="G23" i="22"/>
  <c r="G24" i="22" s="1"/>
  <c r="H25" i="22" l="1"/>
  <c r="D32" i="19" s="1"/>
  <c r="H24" i="22"/>
  <c r="I25" i="22"/>
  <c r="D33" i="19" s="1"/>
  <c r="I24" i="22"/>
  <c r="J25" i="22"/>
  <c r="D34" i="19" s="1"/>
  <c r="J24" i="22"/>
  <c r="G25" i="22"/>
  <c r="D31" i="19" s="1"/>
  <c r="E28" i="17" l="1"/>
  <c r="D9" i="12" l="1"/>
  <c r="G7" i="14" l="1"/>
  <c r="G7" i="10"/>
  <c r="G7" i="7"/>
  <c r="G7" i="6"/>
  <c r="G7" i="5"/>
  <c r="G7" i="3"/>
  <c r="G7" i="2"/>
  <c r="D7" i="14"/>
  <c r="D7" i="10"/>
  <c r="D7" i="7"/>
  <c r="C15" i="7" s="1"/>
  <c r="D7" i="6"/>
  <c r="D7" i="5"/>
  <c r="D7" i="3"/>
  <c r="D7" i="2"/>
  <c r="C71" i="17"/>
  <c r="B71" i="17"/>
  <c r="E71" i="17" s="1"/>
  <c r="E70" i="17"/>
  <c r="C69" i="17"/>
  <c r="B69" i="17"/>
  <c r="E69" i="17" s="1"/>
  <c r="C37" i="2" l="1"/>
  <c r="C38" i="2"/>
  <c r="C39" i="2"/>
  <c r="C36" i="2"/>
  <c r="C30" i="5"/>
  <c r="C32" i="5"/>
  <c r="C14" i="10"/>
  <c r="C17" i="10"/>
  <c r="C15" i="10"/>
  <c r="C18" i="10"/>
  <c r="C16" i="10"/>
  <c r="C13" i="10"/>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71" i="3"/>
  <c r="C66" i="3"/>
  <c r="C67" i="3"/>
  <c r="C75" i="3"/>
  <c r="C64" i="3"/>
  <c r="C63" i="3"/>
  <c r="C56" i="3"/>
  <c r="C55" i="3"/>
  <c r="C50" i="3"/>
  <c r="C52" i="3"/>
  <c r="C44" i="3"/>
  <c r="C43" i="3"/>
  <c r="C38" i="3"/>
  <c r="C39" i="3"/>
  <c r="C46" i="3" l="1"/>
  <c r="C78" i="3"/>
  <c r="C79" i="3"/>
  <c r="C76" i="3"/>
  <c r="C82" i="3"/>
  <c r="C47" i="3"/>
  <c r="C83" i="3"/>
  <c r="C87" i="3"/>
  <c r="C60" i="3"/>
  <c r="C86"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I22" i="3" s="1"/>
  <c r="J18" i="3"/>
  <c r="J19" i="3"/>
  <c r="G18" i="3"/>
  <c r="H19" i="3"/>
  <c r="I19" i="3"/>
  <c r="F22" i="3" l="1"/>
  <c r="F30" i="19" s="1"/>
  <c r="J22" i="3"/>
  <c r="F34" i="19" s="1"/>
  <c r="N34" i="19" s="1"/>
  <c r="G22" i="3"/>
  <c r="F31" i="19" s="1"/>
  <c r="K18" i="3"/>
  <c r="K19" i="3"/>
  <c r="D40" i="19" s="1"/>
  <c r="F33" i="19"/>
  <c r="N33" i="19" s="1"/>
  <c r="I21" i="3"/>
  <c r="G21" i="3"/>
  <c r="F32" i="19"/>
  <c r="N32" i="19" s="1"/>
  <c r="H21" i="3"/>
  <c r="F21" i="3"/>
  <c r="D41" i="19" l="1"/>
  <c r="K22" i="3"/>
  <c r="F35" i="19"/>
  <c r="N31" i="19"/>
  <c r="K21" i="3"/>
  <c r="C43" i="10" l="1"/>
  <c r="J21" i="3" l="1"/>
  <c r="L33" i="22" l="1"/>
  <c r="C33" i="22" s="1"/>
  <c r="L34" i="22"/>
  <c r="C34" i="22" s="1"/>
  <c r="F23" i="22"/>
  <c r="F25" i="22" l="1"/>
  <c r="D30" i="19" s="1"/>
  <c r="F24" i="22"/>
  <c r="K23" i="22"/>
  <c r="K24" i="22" l="1"/>
  <c r="K25" i="22"/>
  <c r="N30" i="19"/>
  <c r="D35" i="19"/>
  <c r="N35" i="19" s="1"/>
</calcChain>
</file>

<file path=xl/sharedStrings.xml><?xml version="1.0" encoding="utf-8"?>
<sst xmlns="http://schemas.openxmlformats.org/spreadsheetml/2006/main" count="785" uniqueCount="347">
  <si>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</si>
  <si>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</si>
  <si>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</si>
  <si>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</si>
  <si>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</si>
  <si>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</si>
  <si>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</si>
  <si>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</si>
  <si>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</si>
  <si>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</si>
  <si>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</si>
  <si>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</si>
  <si>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</si>
  <si>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</si>
  <si>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</si>
  <si>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</si>
  <si>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</si>
  <si>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</si>
  <si>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</si>
  <si>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</si>
  <si>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</si>
  <si>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</si>
  <si>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</si>
  <si>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</si>
  <si>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</si>
  <si>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</si>
  <si>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</si>
  <si>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</si>
  <si>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</si>
  <si>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</si>
  <si>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</si>
  <si>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</si>
  <si>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</si>
  <si>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</si>
  <si>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</si>
  <si>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</si>
  <si>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</si>
  <si>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</si>
  <si>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</si>
  <si>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</si>
  <si>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</si>
  <si>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</si>
  <si>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</si>
  <si>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</si>
  <si>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</si>
  <si>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</si>
  <si>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</si>
  <si>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</si>
  <si>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</si>
  <si>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</si>
  <si>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</si>
  <si>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</si>
  <si>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</si>
  <si>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</si>
  <si>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</si>
  <si>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</si>
  <si>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</si>
  <si>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</si>
  <si>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</si>
  <si>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</si>
  <si>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</si>
  <si>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</si>
  <si>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</si>
  <si>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</si>
  <si>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</si>
  <si>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</si>
  <si>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</si>
  <si>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</si>
  <si>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</si>
  <si>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</si>
  <si>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</si>
  <si>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</si>
  <si>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</si>
  <si>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</si>
  <si>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</si>
  <si>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</si>
  <si>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</si>
  <si>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</si>
  <si>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</si>
  <si>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</si>
  <si>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</si>
  <si>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</si>
  <si>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</si>
  <si>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</si>
  <si>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</si>
  <si>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</si>
  <si>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</si>
  <si>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</si>
  <si>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</si>
  <si>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</si>
  <si>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</si>
  <si>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</si>
  <si>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</si>
  <si>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</si>
  <si>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</si>
  <si>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</si>
  <si>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</si>
  <si>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</si>
  <si>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</si>
  <si>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</si>
  <si>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</si>
  <si>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</si>
  <si>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</si>
  <si>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</si>
  <si>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</si>
  <si>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</si>
  <si>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</si>
  <si>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</si>
  <si>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</si>
  <si>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</si>
  <si>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</si>
  <si>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</si>
  <si>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</si>
  <si>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</si>
  <si>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</si>
  <si>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</si>
  <si>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</si>
  <si>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</si>
  <si>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</si>
  <si>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</si>
  <si>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</si>
  <si>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</si>
  <si>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</si>
  <si>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</si>
  <si>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</si>
  <si>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</si>
  <si>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</si>
  <si>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</si>
  <si>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</si>
  <si>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</si>
  <si>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</si>
  <si>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</si>
  <si>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</si>
  <si>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</si>
  <si>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</si>
  <si>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</si>
  <si>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</si>
  <si>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</si>
  <si>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</si>
  <si>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</si>
  <si>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</si>
  <si>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</si>
  <si>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</si>
  <si>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</si>
  <si>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</si>
  <si>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</si>
  <si>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</si>
  <si>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</si>
  <si>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</si>
  <si>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</si>
  <si>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</si>
  <si>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</si>
  <si>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</si>
  <si>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</si>
  <si>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</si>
  <si>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</si>
  <si>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</si>
  <si>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</si>
  <si>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</si>
  <si>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</si>
  <si>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</si>
  <si>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</si>
  <si>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</si>
  <si>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</si>
  <si>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</si>
  <si>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</si>
  <si>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</si>
  <si>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</si>
  <si>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</si>
  <si>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</si>
  <si>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</si>
  <si>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</si>
  <si>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</si>
  <si>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</si>
  <si>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</si>
  <si>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</si>
  <si>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</si>
  <si>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</si>
  <si>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</si>
  <si>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</si>
  <si>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</si>
  <si>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</si>
  <si>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</si>
  <si>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</si>
  <si>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</si>
  <si>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</si>
  <si>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</si>
  <si>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</si>
  <si>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</si>
  <si>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</si>
  <si>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</si>
  <si>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</si>
  <si>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</si>
  <si>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</si>
  <si>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</si>
  <si>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</si>
  <si>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</si>
  <si>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</si>
  <si>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</si>
  <si>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</si>
  <si>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</si>
  <si>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</si>
  <si>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</si>
  <si>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</si>
  <si>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</si>
  <si>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</si>
  <si>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</si>
  <si>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</si>
  <si>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</si>
  <si>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</si>
  <si>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</si>
  <si>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</si>
  <si>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</si>
  <si>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</si>
  <si>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</si>
  <si>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</si>
  <si>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</si>
  <si>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</si>
  <si>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</si>
  <si>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</si>
  <si>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</si>
  <si>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</si>
  <si>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</si>
  <si>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</si>
  <si>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</si>
  <si>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</si>
  <si>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</si>
  <si>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</si>
  <si>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</si>
  <si>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</si>
  <si>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</si>
  <si>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</si>
  <si>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</si>
  <si>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</si>
  <si>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</si>
  <si>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</si>
  <si>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</si>
  <si>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</si>
  <si>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</si>
  <si>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</si>
  <si>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</si>
  <si>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</si>
  <si>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</si>
  <si>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</si>
  <si>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</si>
  <si>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</si>
  <si>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</si>
  <si>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</si>
  <si>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</si>
  <si>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</si>
  <si>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</si>
  <si>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</si>
  <si>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</si>
  <si>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</si>
  <si>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</si>
  <si>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</si>
  <si>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</si>
  <si>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</si>
  <si>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</si>
  <si>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</si>
  <si>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</si>
  <si>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</si>
  <si>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</si>
  <si>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</si>
  <si>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</si>
  <si>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</si>
  <si>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</si>
  <si>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</si>
  <si>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</si>
  <si>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</si>
  <si>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</si>
  <si>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</si>
  <si>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</si>
  <si>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</si>
  <si>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</si>
  <si>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</si>
  <si>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</si>
  <si>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</si>
  <si>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</si>
  <si>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</si>
  <si>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</si>
  <si>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</si>
  <si>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</si>
  <si>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</si>
  <si>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</si>
  <si>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</si>
  <si>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</si>
  <si>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</si>
  <si>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</si>
  <si>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</si>
  <si>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</si>
  <si>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</si>
  <si>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</si>
  <si>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</si>
  <si>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</si>
  <si>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</si>
  <si>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</si>
  <si>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</si>
  <si>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</si>
  <si>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</si>
  <si>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</si>
  <si>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</si>
  <si>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</si>
  <si>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</si>
  <si>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</si>
  <si>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</si>
  <si>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</si>
  <si>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</si>
  <si>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</si>
  <si>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</si>
  <si>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</si>
  <si>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</si>
  <si>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</si>
  <si>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</si>
  <si>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</si>
  <si>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</si>
  <si>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</si>
  <si>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</si>
  <si>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</si>
  <si>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</si>
  <si>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</si>
  <si>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</si>
  <si>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162 E. Carson Street</t>
  </si>
  <si>
    <t>Gary Ernst</t>
  </si>
  <si>
    <t>Fiscal Consultant</t>
  </si>
  <si>
    <t>gcernst@sbcglobal.net</t>
  </si>
  <si>
    <t>559 679-2541</t>
  </si>
  <si>
    <t>Integrated PEI Programs</t>
  </si>
  <si>
    <t>n/a</t>
  </si>
  <si>
    <t>MHSA Forenic Program</t>
  </si>
  <si>
    <t>Intergated Full Service Partnership</t>
  </si>
  <si>
    <t>IntergatedCSS Non-Full Service Partnership Program</t>
  </si>
  <si>
    <t>Children SOC -  Outreach &amp; Engagement</t>
  </si>
  <si>
    <t>2nd Step</t>
  </si>
  <si>
    <t>CSOC-Friday Night Live (FNL)/Club Live (CL)</t>
  </si>
  <si>
    <t>MHSA Infant to 5 Program</t>
  </si>
  <si>
    <t>Forensic Program</t>
  </si>
  <si>
    <t>Per Director, Prog.started before MHSOAC functional</t>
  </si>
  <si>
    <t>WRAP Around</t>
  </si>
  <si>
    <t>Adult System of Care - Full Service Partnership</t>
  </si>
  <si>
    <t>Adult Sys.of Care-Safe Haven/Leadership Advocacy Committee</t>
  </si>
  <si>
    <t>No Funds to report</t>
  </si>
  <si>
    <t>Children System of Care-Outreach &amp; Engagement</t>
  </si>
  <si>
    <t>N/A</t>
  </si>
  <si>
    <r>
      <rPr>
        <b/>
        <sz val="12"/>
        <color theme="1"/>
        <rFont val="Arial"/>
        <family val="2"/>
      </rPr>
      <t>Adjustment (MHSA) 'tab'</t>
    </r>
    <r>
      <rPr>
        <sz val="12"/>
        <color theme="1"/>
        <rFont val="Arial"/>
        <family val="2"/>
      </rPr>
      <t xml:space="preserve"> - In January, 2019 Mental Health staff met with DHCS MHSA staff via conference call to discuss the Cultura Es Vida and Social Determinants of Rural Mental Health programs which the County had initially set-up as an INN component programs beginning in FY15/16 and operated them as INN component programs through FY17/18.  During the ensuing discussion of the Cultura Es Vida &amp; Social Determinants of Rural Mental Health programs, it was determined that both of these programs had not been formally approved by the MHSOAC. As a result of these discussions, it was agreed that the County would make the nessecary adjustments to remove these costs for these two (2) programs from the INN component retro-active to FY15/16.  In response to these discussions, the County did make adjustments in the FY17/18 RER Adjustment 'tabs' to reflect these actions by re-allocating costs back to it's CSS program component.  However, since the County's allocation methodology is based on labor costs associated with each individual cost center, the transfer of labor costs to the CSS component affected all of the clinic's other program cost centers.  Also correspondingly, all associated 'indirect' costs have shifted and thus the reason for the changes also occurring in the PEI component.  This shift of costs also affected Medi-Cal revenues-refer to Adjustment (FFP) 'tab".  The County did not shift any costs from the above two ineligble programs to the 'INN Annual Planning Costs' on row #1.  The County retains all working papers associated with the above referred to adjustments for any future review by DHCS.</t>
    </r>
  </si>
  <si>
    <r>
      <rPr>
        <b/>
        <sz val="12"/>
        <color theme="1"/>
        <rFont val="Arial"/>
        <family val="2"/>
      </rPr>
      <t xml:space="preserve">Adjustment (FFP) 'tab' </t>
    </r>
    <r>
      <rPr>
        <sz val="12"/>
        <color theme="1"/>
        <rFont val="Arial"/>
        <family val="2"/>
      </rPr>
      <t>- Due to the above shift in labor &amp; associated indirect costs, the 'Mental Health Service' cost per unit of service was impacted by an increased cost per minute thus increasing the FFP Medi-Cal revenue generated and is reflected in the CSS component Medi-Cal revenue.  Again, the County retains all working papers associated with these adjustments.</t>
    </r>
  </si>
  <si>
    <t>Re-distribute Costs to adj for non-approv'd INN Program. Also refer to the 'Comments' tab for additional explanation.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</si>
</sst>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1" fillId="0" borderId="4" xfId="0" applyFont="1" applyBorder="1" applyAlignment="1" applyProtection="1">
      <alignment vertical="center" wrapText="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E21" sqref="E21"/>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7" t="s">
        <v>1</v>
      </c>
      <c r="C7" s="447"/>
      <c r="D7" s="9" t="str">
        <f>IF(ISBLANK('1. Information'!D8),"",'1. Information'!D8)</f>
        <v>Colusa</v>
      </c>
      <c r="F7" s="94" t="s">
        <v>2</v>
      </c>
      <c r="G7" s="109">
        <f>IF(ISBLANK('1. Information'!D7),"",'1. Information'!D7)</f>
        <v>43544</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8" t="s">
        <v>30</v>
      </c>
      <c r="G12" s="458"/>
      <c r="H12" s="458"/>
      <c r="I12" s="458"/>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f>IF(J15&lt;&gt;0,VLOOKUP($D$7,Info_County_Code,2,FALSE),"")</f>
        <v>6</v>
      </c>
      <c r="D15" s="84" t="s">
        <v>121</v>
      </c>
      <c r="E15" s="116">
        <v>147352</v>
      </c>
      <c r="F15" s="120">
        <v>0</v>
      </c>
      <c r="G15" s="116">
        <v>0</v>
      </c>
      <c r="H15" s="116">
        <v>0</v>
      </c>
      <c r="I15" s="313">
        <v>0</v>
      </c>
      <c r="J15" s="316">
        <f>SUM(E15:I15)</f>
        <v>147352</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1"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E25" sqref="E25"/>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7" t="s">
        <v>1</v>
      </c>
      <c r="C7" s="447"/>
      <c r="D7" s="9" t="str">
        <f>IF(ISBLANK('1. Information'!D8),"",'1. Information'!D8)</f>
        <v>Colusa</v>
      </c>
      <c r="E7" s="3"/>
      <c r="F7" s="97" t="s">
        <v>178</v>
      </c>
      <c r="G7" s="109">
        <f>IF(ISBLANK('1. Information'!D7),"",'1. Information'!D7)</f>
        <v>43544</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45" x14ac:dyDescent="0.2">
      <c r="B13" s="101">
        <v>1</v>
      </c>
      <c r="C13" s="132">
        <f t="shared" ref="C13:C42" si="0">IF(F13&lt;&gt;0,VLOOKUP($D$7,Info_County_Code,2,FALSE),"")</f>
        <v>6</v>
      </c>
      <c r="D13" s="149" t="s">
        <v>34</v>
      </c>
      <c r="E13" s="337" t="s">
        <v>291</v>
      </c>
      <c r="F13" s="336">
        <v>87208</v>
      </c>
      <c r="G13" s="364" t="s">
        <v>346</v>
      </c>
    </row>
    <row r="14" spans="2:7" ht="45" x14ac:dyDescent="0.2">
      <c r="B14" s="101">
        <v>2</v>
      </c>
      <c r="C14" s="132">
        <f t="shared" si="0"/>
        <v>6</v>
      </c>
      <c r="D14" s="149" t="s">
        <v>35</v>
      </c>
      <c r="E14" s="133" t="s">
        <v>291</v>
      </c>
      <c r="F14" s="150">
        <v>5566</v>
      </c>
      <c r="G14" s="364" t="s">
        <v>346</v>
      </c>
    </row>
    <row r="15" spans="2:7" ht="45" x14ac:dyDescent="0.2">
      <c r="B15" s="101">
        <v>3</v>
      </c>
      <c r="C15" s="132">
        <f t="shared" si="0"/>
        <v>6</v>
      </c>
      <c r="D15" s="149" t="s">
        <v>36</v>
      </c>
      <c r="E15" s="133" t="s">
        <v>291</v>
      </c>
      <c r="F15" s="150">
        <v>-173953</v>
      </c>
      <c r="G15" s="364" t="s">
        <v>346</v>
      </c>
    </row>
    <row r="16" spans="2:7" ht="45" x14ac:dyDescent="0.2">
      <c r="B16" s="101">
        <v>4</v>
      </c>
      <c r="C16" s="132">
        <f t="shared" si="0"/>
        <v>6</v>
      </c>
      <c r="D16" s="149" t="s">
        <v>34</v>
      </c>
      <c r="E16" s="133" t="s">
        <v>290</v>
      </c>
      <c r="F16" s="150">
        <v>52848</v>
      </c>
      <c r="G16" s="364" t="s">
        <v>346</v>
      </c>
    </row>
    <row r="17" spans="2:7" ht="45" x14ac:dyDescent="0.2">
      <c r="B17" s="101">
        <v>5</v>
      </c>
      <c r="C17" s="132">
        <f t="shared" si="0"/>
        <v>6</v>
      </c>
      <c r="D17" s="149" t="s">
        <v>35</v>
      </c>
      <c r="E17" s="133" t="s">
        <v>290</v>
      </c>
      <c r="F17" s="152">
        <v>5209</v>
      </c>
      <c r="G17" s="364" t="s">
        <v>346</v>
      </c>
    </row>
    <row r="18" spans="2:7" ht="45" x14ac:dyDescent="0.2">
      <c r="B18" s="101">
        <v>6</v>
      </c>
      <c r="C18" s="132">
        <f t="shared" si="0"/>
        <v>6</v>
      </c>
      <c r="D18" s="149" t="s">
        <v>36</v>
      </c>
      <c r="E18" s="133" t="s">
        <v>290</v>
      </c>
      <c r="F18" s="152">
        <v>-139578</v>
      </c>
      <c r="G18" s="364" t="s">
        <v>346</v>
      </c>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F19" sqref="F19"/>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7" t="s">
        <v>1</v>
      </c>
      <c r="C7" s="447"/>
      <c r="D7" s="9" t="str">
        <f>IF(ISBLANK('1. Information'!D8),"",'1. Information'!D8)</f>
        <v>Colusa</v>
      </c>
      <c r="F7" s="94" t="s">
        <v>2</v>
      </c>
      <c r="G7" s="38">
        <f>IF(ISBLANK('1. Information'!D7),"",'1. Information'!D7)</f>
        <v>43544</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6</v>
      </c>
      <c r="D13" s="379" t="s">
        <v>291</v>
      </c>
      <c r="E13" s="149" t="s">
        <v>182</v>
      </c>
      <c r="F13" s="390" t="s">
        <v>34</v>
      </c>
      <c r="G13" s="92">
        <v>2366570</v>
      </c>
      <c r="H13" s="92">
        <v>81179</v>
      </c>
      <c r="I13" s="91">
        <f>SUM(G13:H13)</f>
        <v>2447749</v>
      </c>
    </row>
    <row r="14" spans="2:9" x14ac:dyDescent="0.2">
      <c r="B14" s="101">
        <v>2</v>
      </c>
      <c r="C14" s="132">
        <f t="shared" si="0"/>
        <v>6</v>
      </c>
      <c r="D14" s="379" t="s">
        <v>290</v>
      </c>
      <c r="E14" s="149" t="s">
        <v>182</v>
      </c>
      <c r="F14" s="390" t="s">
        <v>34</v>
      </c>
      <c r="G14" s="92">
        <v>2195550</v>
      </c>
      <c r="H14" s="92">
        <v>79604</v>
      </c>
      <c r="I14" s="91">
        <f t="shared" ref="I14:I52" si="1">SUM(G14:H14)</f>
        <v>2275154</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68"/>
  <sheetViews>
    <sheetView showGridLines="0" zoomScale="85" zoomScaleNormal="85" workbookViewId="0">
      <selection activeCell="C9" sqref="C9"/>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185.45" customHeight="1" x14ac:dyDescent="0.2">
      <c r="B8" s="248">
        <v>1</v>
      </c>
      <c r="C8" s="422" t="s">
        <v>344</v>
      </c>
    </row>
    <row r="9" spans="1:28" ht="46.15" customHeight="1" x14ac:dyDescent="0.2">
      <c r="B9" s="249">
        <v>2</v>
      </c>
      <c r="C9" s="253" t="s">
        <v>345</v>
      </c>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scale="83" fitToHeight="0"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
    <row r="12" spans="1:7" ht="29.25" customHeight="1" x14ac:dyDescent="0.2">
      <c r="B12" s="426" t="s">
        <v>266</v>
      </c>
      <c r="C12" s="427" t="s">
        <v>272</v>
      </c>
    </row>
    <row r="13" spans="1:7" ht="18" customHeight="1" x14ac:dyDescent="0.2">
      <c r="B13" s="426"/>
      <c r="C13" s="426"/>
    </row>
    <row r="14" spans="1:7" ht="60.75" customHeight="1" x14ac:dyDescent="0.2">
      <c r="B14" s="423" t="s">
        <v>267</v>
      </c>
      <c r="C14" s="381" t="s">
        <v>311</v>
      </c>
    </row>
    <row r="15" spans="1:7" ht="68.25" customHeight="1" x14ac:dyDescent="0.2">
      <c r="B15" s="424"/>
      <c r="C15" s="382" t="s">
        <v>321</v>
      </c>
    </row>
    <row r="16" spans="1:7" ht="66" customHeight="1" x14ac:dyDescent="0.2">
      <c r="B16" s="425"/>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43544</v>
      </c>
    </row>
    <row r="8" spans="1:5" ht="34.5" customHeight="1" x14ac:dyDescent="0.2">
      <c r="A8" s="99"/>
      <c r="B8" s="130">
        <v>2</v>
      </c>
      <c r="C8" s="102" t="s">
        <v>1</v>
      </c>
      <c r="D8" s="365" t="s">
        <v>48</v>
      </c>
    </row>
    <row r="9" spans="1:5" ht="34.5" customHeight="1" x14ac:dyDescent="0.2">
      <c r="A9" s="99"/>
      <c r="B9" s="130">
        <v>3</v>
      </c>
      <c r="C9" s="103" t="s">
        <v>125</v>
      </c>
      <c r="D9" s="104">
        <f>IF(ISBLANK(D8),"",VLOOKUP(D8,Info_County_Code,2))</f>
        <v>6</v>
      </c>
    </row>
    <row r="10" spans="1:5" ht="34.5" customHeight="1" x14ac:dyDescent="0.2">
      <c r="A10" s="99"/>
      <c r="B10" s="130">
        <v>4</v>
      </c>
      <c r="C10" s="102" t="s">
        <v>126</v>
      </c>
      <c r="D10" s="418" t="s">
        <v>322</v>
      </c>
    </row>
    <row r="11" spans="1:5" ht="34.5" customHeight="1" x14ac:dyDescent="0.2">
      <c r="A11" s="99"/>
      <c r="B11" s="130">
        <v>5</v>
      </c>
      <c r="C11" s="102" t="s">
        <v>127</v>
      </c>
      <c r="D11" s="365" t="s">
        <v>48</v>
      </c>
    </row>
    <row r="12" spans="1:5" ht="34.5" customHeight="1" x14ac:dyDescent="0.2">
      <c r="A12" s="99"/>
      <c r="B12" s="130">
        <v>6</v>
      </c>
      <c r="C12" s="102" t="s">
        <v>128</v>
      </c>
      <c r="D12" s="244">
        <v>95932</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5" activePane="bottomRight" state="frozen"/>
      <selection pane="topRight" activeCell="D1" sqref="D1"/>
      <selection pane="bottomLeft" activeCell="A16" sqref="A16"/>
      <selection pane="bottomRight" activeCell="D41" sqref="D41"/>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Colusa</v>
      </c>
      <c r="F7" s="360" t="s">
        <v>2</v>
      </c>
      <c r="G7" s="259">
        <f>IF(ISBLANK('1. Information'!D7),"",'1. Information'!D7)</f>
        <v>43544</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64481</v>
      </c>
      <c r="E15" s="260"/>
      <c r="F15" s="260"/>
      <c r="G15" s="90"/>
      <c r="H15" s="260"/>
      <c r="I15" s="260"/>
      <c r="J15" s="260"/>
      <c r="K15" s="260"/>
      <c r="L15" s="260"/>
      <c r="M15" s="260"/>
      <c r="N15" s="260"/>
    </row>
    <row r="16" spans="2:14" x14ac:dyDescent="0.25">
      <c r="B16" s="24">
        <v>2</v>
      </c>
      <c r="C16" s="332" t="s">
        <v>306</v>
      </c>
      <c r="D16" s="394">
        <v>468478</v>
      </c>
      <c r="E16" s="260"/>
      <c r="F16" s="260"/>
      <c r="G16" s="90"/>
      <c r="H16" s="260"/>
      <c r="I16" s="260"/>
      <c r="J16" s="260"/>
      <c r="K16" s="260"/>
      <c r="L16" s="260"/>
      <c r="M16" s="260"/>
      <c r="N16" s="260"/>
    </row>
    <row r="17" spans="2:14" x14ac:dyDescent="0.25">
      <c r="B17" s="24">
        <v>3</v>
      </c>
      <c r="C17" s="332" t="s">
        <v>312</v>
      </c>
      <c r="D17" s="91">
        <f>D16+M22+M27+SUM('9. Adjustment (MHSA)'!F83:F112)</f>
        <v>468478</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49005.56</v>
      </c>
      <c r="E23" s="380">
        <f>D15*0.19</f>
        <v>12251.39</v>
      </c>
      <c r="F23" s="261">
        <f>D15*0.05</f>
        <v>3224.05</v>
      </c>
      <c r="G23" s="327"/>
      <c r="H23" s="327"/>
      <c r="I23" s="327"/>
      <c r="J23" s="334"/>
      <c r="K23" s="327"/>
      <c r="L23" s="327"/>
      <c r="M23" s="327"/>
      <c r="N23" s="333">
        <f>SUM(D23:M23)</f>
        <v>64481</v>
      </c>
    </row>
    <row r="24" spans="2:14" ht="24" customHeight="1" x14ac:dyDescent="0.25">
      <c r="B24" s="24">
        <v>6</v>
      </c>
      <c r="C24" s="266" t="s">
        <v>25</v>
      </c>
      <c r="D24" s="339">
        <f t="shared" ref="D24:L24" si="0">SUM(D22:D23)</f>
        <v>49005.56</v>
      </c>
      <c r="E24" s="339">
        <f t="shared" si="0"/>
        <v>12251.39</v>
      </c>
      <c r="F24" s="339">
        <f t="shared" si="0"/>
        <v>3224.05</v>
      </c>
      <c r="G24" s="339">
        <f t="shared" si="0"/>
        <v>0</v>
      </c>
      <c r="H24" s="339">
        <f t="shared" si="0"/>
        <v>0</v>
      </c>
      <c r="I24" s="339">
        <f t="shared" si="0"/>
        <v>0</v>
      </c>
      <c r="J24" s="339">
        <f t="shared" si="0"/>
        <v>0</v>
      </c>
      <c r="K24" s="339">
        <f t="shared" si="0"/>
        <v>0</v>
      </c>
      <c r="L24" s="339">
        <f t="shared" si="0"/>
        <v>0</v>
      </c>
      <c r="M24" s="339">
        <v>0</v>
      </c>
      <c r="N24" s="371">
        <f>SUM(D24:M24)</f>
        <v>64481</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519675</v>
      </c>
      <c r="E30" s="264">
        <f>'4. PEI'!F21</f>
        <v>231357</v>
      </c>
      <c r="F30" s="264">
        <f>'5. INN'!F22</f>
        <v>88548</v>
      </c>
      <c r="G30" s="264">
        <f>'6. WET'!F20</f>
        <v>20538</v>
      </c>
      <c r="H30" s="264">
        <f>'7. CFTN'!F21</f>
        <v>0</v>
      </c>
      <c r="I30" s="334"/>
      <c r="J30" s="264">
        <f>'8. WET RP, HP'!E14</f>
        <v>0</v>
      </c>
      <c r="K30" s="264">
        <f>'4. PEI'!F17</f>
        <v>0</v>
      </c>
      <c r="L30" s="264">
        <f>'8. WET RP, HP'!E15</f>
        <v>147352</v>
      </c>
      <c r="M30" s="334"/>
      <c r="N30" s="264">
        <f t="shared" ref="N30:N35" si="1">SUM(D30:M30)</f>
        <v>1007470</v>
      </c>
    </row>
    <row r="31" spans="2:14" ht="24" customHeight="1" x14ac:dyDescent="0.25">
      <c r="B31" s="24">
        <v>9</v>
      </c>
      <c r="C31" s="262" t="s">
        <v>5</v>
      </c>
      <c r="D31" s="261">
        <f>'3. CSS'!G25</f>
        <v>2206246</v>
      </c>
      <c r="E31" s="261">
        <f>'4. PEI'!G21</f>
        <v>0</v>
      </c>
      <c r="F31" s="261">
        <f>'5. INN'!G22</f>
        <v>0</v>
      </c>
      <c r="G31" s="261">
        <f>'6. WET'!G20</f>
        <v>0</v>
      </c>
      <c r="H31" s="261">
        <f>'7. CFTN'!G21</f>
        <v>0</v>
      </c>
      <c r="I31" s="7"/>
      <c r="J31" s="261">
        <f>'8. WET RP, HP'!F14</f>
        <v>0</v>
      </c>
      <c r="K31" s="261">
        <f>'4. PEI'!G17</f>
        <v>0</v>
      </c>
      <c r="L31" s="261">
        <f>'8. WET RP, HP'!F15</f>
        <v>0</v>
      </c>
      <c r="M31" s="327"/>
      <c r="N31" s="264">
        <f t="shared" si="1"/>
        <v>2206246</v>
      </c>
    </row>
    <row r="32" spans="2:14" ht="24" customHeight="1" x14ac:dyDescent="0.25">
      <c r="B32" s="24">
        <v>10</v>
      </c>
      <c r="C32" s="262" t="s">
        <v>6</v>
      </c>
      <c r="D32" s="261">
        <f>'3. CSS'!H25</f>
        <v>141855</v>
      </c>
      <c r="E32" s="261">
        <f>'4. PEI'!H21</f>
        <v>0</v>
      </c>
      <c r="F32" s="261">
        <f>'5. INN'!H22</f>
        <v>0</v>
      </c>
      <c r="G32" s="261">
        <f>'6. WET'!H20</f>
        <v>0</v>
      </c>
      <c r="H32" s="261">
        <f>'7. CFTN'!H21</f>
        <v>0</v>
      </c>
      <c r="I32" s="7"/>
      <c r="J32" s="261">
        <f>'8. WET RP, HP'!G14</f>
        <v>0</v>
      </c>
      <c r="K32" s="261">
        <f>'4. PEI'!H17</f>
        <v>0</v>
      </c>
      <c r="L32" s="261">
        <f>'8. WET RP, HP'!G15</f>
        <v>0</v>
      </c>
      <c r="M32" s="327"/>
      <c r="N32" s="264">
        <f t="shared" si="1"/>
        <v>141855</v>
      </c>
    </row>
    <row r="33" spans="2:14" ht="24" customHeight="1" x14ac:dyDescent="0.25">
      <c r="B33" s="24">
        <v>11</v>
      </c>
      <c r="C33" s="262" t="s">
        <v>31</v>
      </c>
      <c r="D33" s="261">
        <f>'3. CSS'!I25</f>
        <v>1181194</v>
      </c>
      <c r="E33" s="261">
        <f>'4. PEI'!I21</f>
        <v>0</v>
      </c>
      <c r="F33" s="261">
        <f>'5. INN'!I22</f>
        <v>0</v>
      </c>
      <c r="G33" s="261">
        <f>'6. WET'!I20</f>
        <v>0</v>
      </c>
      <c r="H33" s="261">
        <f>'7. CFTN'!I21</f>
        <v>0</v>
      </c>
      <c r="I33" s="7"/>
      <c r="J33" s="261">
        <f>'8. WET RP, HP'!H14</f>
        <v>0</v>
      </c>
      <c r="K33" s="261">
        <f>'4. PEI'!I17</f>
        <v>0</v>
      </c>
      <c r="L33" s="261">
        <f>'8. WET RP, HP'!H15</f>
        <v>0</v>
      </c>
      <c r="M33" s="327"/>
      <c r="N33" s="264">
        <f t="shared" si="1"/>
        <v>1181194</v>
      </c>
    </row>
    <row r="34" spans="2:14" ht="24" customHeight="1" x14ac:dyDescent="0.25">
      <c r="B34" s="24">
        <v>12</v>
      </c>
      <c r="C34" s="262" t="s">
        <v>15</v>
      </c>
      <c r="D34" s="261">
        <f>'3. CSS'!J25</f>
        <v>255531</v>
      </c>
      <c r="E34" s="261">
        <f>'4. PEI'!J21</f>
        <v>0</v>
      </c>
      <c r="F34" s="261">
        <f>'5. INN'!J22</f>
        <v>0</v>
      </c>
      <c r="G34" s="261">
        <f>'6. WET'!J20</f>
        <v>0</v>
      </c>
      <c r="H34" s="261">
        <f>'7. CFTN'!J21</f>
        <v>0</v>
      </c>
      <c r="I34" s="7"/>
      <c r="J34" s="261">
        <f>'8. WET RP, HP'!I14</f>
        <v>0</v>
      </c>
      <c r="K34" s="261">
        <f>'4. PEI'!J17</f>
        <v>0</v>
      </c>
      <c r="L34" s="261">
        <f>'8. WET RP, HP'!I15</f>
        <v>0</v>
      </c>
      <c r="M34" s="327"/>
      <c r="N34" s="264">
        <f t="shared" si="1"/>
        <v>255531</v>
      </c>
    </row>
    <row r="35" spans="2:14" ht="24" customHeight="1" x14ac:dyDescent="0.25">
      <c r="B35" s="24">
        <v>13</v>
      </c>
      <c r="C35" s="266" t="s">
        <v>25</v>
      </c>
      <c r="D35" s="267">
        <f>SUM(D30:D34)</f>
        <v>4304501</v>
      </c>
      <c r="E35" s="267">
        <f t="shared" ref="E35:L35" si="2">SUM(E30:E34)</f>
        <v>231357</v>
      </c>
      <c r="F35" s="267">
        <f t="shared" si="2"/>
        <v>88548</v>
      </c>
      <c r="G35" s="267">
        <f t="shared" si="2"/>
        <v>20538</v>
      </c>
      <c r="H35" s="267">
        <f t="shared" si="2"/>
        <v>0</v>
      </c>
      <c r="I35" s="267">
        <f t="shared" si="2"/>
        <v>0</v>
      </c>
      <c r="J35" s="267">
        <f t="shared" si="2"/>
        <v>0</v>
      </c>
      <c r="K35" s="267">
        <f t="shared" si="2"/>
        <v>0</v>
      </c>
      <c r="L35" s="267">
        <f t="shared" si="2"/>
        <v>147352</v>
      </c>
      <c r="M35" s="7"/>
      <c r="N35" s="339">
        <f t="shared" si="1"/>
        <v>4792296</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275339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zoomScale="70" zoomScaleNormal="70" zoomScaleSheetLayoutView="40" zoomScalePageLayoutView="70" workbookViewId="0">
      <selection activeCell="F16" sqref="F16"/>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6"/>
      <c r="C1" s="446"/>
      <c r="D1" s="446"/>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7" t="s">
        <v>1</v>
      </c>
      <c r="C7" s="447"/>
      <c r="D7" s="9" t="str">
        <f>IF(ISBLANK('1. Information'!D8),"",'1. Information'!D8)</f>
        <v>Colusa</v>
      </c>
      <c r="E7" s="281"/>
      <c r="F7" s="279" t="s">
        <v>2</v>
      </c>
      <c r="G7" s="282">
        <f>IF(ISBLANK('1. Information'!D7),"",'1. Information'!D7)</f>
        <v>43544</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4" t="s">
        <v>7</v>
      </c>
      <c r="D14" s="444"/>
      <c r="E14" s="444"/>
      <c r="F14" s="367"/>
      <c r="G14" s="368"/>
      <c r="H14" s="353"/>
      <c r="I14" s="290"/>
      <c r="J14" s="290"/>
      <c r="K14" s="292">
        <f>SUM(F14:J14)</f>
        <v>0</v>
      </c>
      <c r="L14"/>
    </row>
    <row r="15" spans="1:12" ht="15" customHeight="1" x14ac:dyDescent="0.25">
      <c r="A15" s="281"/>
      <c r="B15" s="277">
        <v>2</v>
      </c>
      <c r="C15" s="444" t="s">
        <v>8</v>
      </c>
      <c r="D15" s="444"/>
      <c r="E15" s="444"/>
      <c r="F15" s="367"/>
      <c r="G15" s="290"/>
      <c r="H15" s="290"/>
      <c r="I15" s="290"/>
      <c r="J15" s="290"/>
      <c r="K15" s="292">
        <f t="shared" ref="K15:K23" si="0">SUM(F15:J15)</f>
        <v>0</v>
      </c>
      <c r="L15"/>
    </row>
    <row r="16" spans="1:12" x14ac:dyDescent="0.25">
      <c r="A16" s="281"/>
      <c r="B16" s="277">
        <v>3</v>
      </c>
      <c r="C16" s="444" t="s">
        <v>129</v>
      </c>
      <c r="D16" s="444"/>
      <c r="E16" s="444"/>
      <c r="F16" s="367">
        <v>141950</v>
      </c>
      <c r="G16" s="290">
        <v>111929</v>
      </c>
      <c r="H16" s="290">
        <v>0</v>
      </c>
      <c r="I16" s="290">
        <v>0</v>
      </c>
      <c r="J16" s="290">
        <v>0</v>
      </c>
      <c r="K16" s="292">
        <f t="shared" si="0"/>
        <v>253879</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44" t="s">
        <v>216</v>
      </c>
      <c r="D19" s="444"/>
      <c r="E19" s="444"/>
      <c r="F19" s="290"/>
      <c r="G19" s="294"/>
      <c r="H19" s="294"/>
      <c r="I19" s="294"/>
      <c r="J19" s="294"/>
      <c r="K19" s="293">
        <f t="shared" si="0"/>
        <v>0</v>
      </c>
      <c r="L19"/>
    </row>
    <row r="20" spans="1:12" x14ac:dyDescent="0.25">
      <c r="A20" s="283"/>
      <c r="B20" s="256">
        <v>7</v>
      </c>
      <c r="C20" s="441" t="s">
        <v>226</v>
      </c>
      <c r="D20" s="442"/>
      <c r="E20" s="443"/>
      <c r="F20" s="290"/>
      <c r="G20" s="293"/>
      <c r="H20" s="293"/>
      <c r="I20" s="293"/>
      <c r="J20" s="293"/>
      <c r="K20" s="293">
        <f t="shared" si="0"/>
        <v>0</v>
      </c>
      <c r="L20"/>
    </row>
    <row r="21" spans="1:12" x14ac:dyDescent="0.25">
      <c r="A21" s="283"/>
      <c r="B21" s="256">
        <v>8</v>
      </c>
      <c r="C21" s="441" t="s">
        <v>227</v>
      </c>
      <c r="D21" s="442"/>
      <c r="E21" s="443"/>
      <c r="F21" s="290"/>
      <c r="G21" s="293"/>
      <c r="H21" s="293"/>
      <c r="I21" s="293"/>
      <c r="J21" s="293"/>
      <c r="K21" s="293">
        <f t="shared" si="0"/>
        <v>0</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44" t="s">
        <v>140</v>
      </c>
      <c r="D23" s="444"/>
      <c r="E23" s="444"/>
      <c r="F23" s="294">
        <f>SUM(G33:G132)</f>
        <v>377725</v>
      </c>
      <c r="G23" s="293">
        <f>SUM(H33:H132)</f>
        <v>2094317</v>
      </c>
      <c r="H23" s="293">
        <f>SUM(I33:I132)</f>
        <v>141855</v>
      </c>
      <c r="I23" s="293">
        <f>SUM(J33:J132)</f>
        <v>1181194</v>
      </c>
      <c r="J23" s="293">
        <f>SUM(K33:K132)</f>
        <v>255531</v>
      </c>
      <c r="K23" s="293">
        <f t="shared" si="0"/>
        <v>4050622</v>
      </c>
      <c r="L23"/>
    </row>
    <row r="24" spans="1:12" ht="30.95" customHeight="1" x14ac:dyDescent="0.25">
      <c r="A24" s="281"/>
      <c r="B24" s="277">
        <v>11</v>
      </c>
      <c r="C24" s="431" t="s">
        <v>223</v>
      </c>
      <c r="D24" s="432"/>
      <c r="E24" s="433"/>
      <c r="F24" s="7">
        <f>SUM(F14:F16,F18:F23)</f>
        <v>519675</v>
      </c>
      <c r="G24" s="7">
        <f>SUM(G14:G16,G18:G23)</f>
        <v>2206246</v>
      </c>
      <c r="H24" s="43">
        <f t="shared" ref="H24:J24" si="1">SUM(H14:H16,H18:H23)</f>
        <v>141855</v>
      </c>
      <c r="I24" s="7">
        <f t="shared" si="1"/>
        <v>1181194</v>
      </c>
      <c r="J24" s="7">
        <f t="shared" si="1"/>
        <v>255531</v>
      </c>
      <c r="K24" s="7">
        <f>SUM(K14:K16,K18:K23)</f>
        <v>4304501</v>
      </c>
      <c r="L24"/>
    </row>
    <row r="25" spans="1:12" s="325" customFormat="1" ht="30.95" customHeight="1" x14ac:dyDescent="0.25">
      <c r="A25" s="281"/>
      <c r="B25" s="277">
        <v>12</v>
      </c>
      <c r="C25" s="438" t="s">
        <v>283</v>
      </c>
      <c r="D25" s="438"/>
      <c r="E25" s="438"/>
      <c r="F25" s="7">
        <f>SUM(F14:F16,F18,F23)</f>
        <v>519675</v>
      </c>
      <c r="G25" s="299">
        <f t="shared" ref="G25:J25" si="2">SUM(G14:G16,G18,G23)</f>
        <v>2206246</v>
      </c>
      <c r="H25" s="299">
        <f t="shared" si="2"/>
        <v>141855</v>
      </c>
      <c r="I25" s="299">
        <f t="shared" si="2"/>
        <v>1181194</v>
      </c>
      <c r="J25" s="7">
        <f t="shared" si="2"/>
        <v>255531</v>
      </c>
      <c r="K25" s="7">
        <f>SUM(K14:K16,K18,K23)</f>
        <v>4304501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6</v>
      </c>
      <c r="D33" s="395" t="s">
        <v>338</v>
      </c>
      <c r="E33" s="395" t="s">
        <v>330</v>
      </c>
      <c r="F33" s="297" t="s">
        <v>102</v>
      </c>
      <c r="G33" s="291">
        <f>45677*0.231</f>
        <v>10551.387000000001</v>
      </c>
      <c r="H33" s="291">
        <f>253259*0.231</f>
        <v>58502.829000000005</v>
      </c>
      <c r="I33" s="291">
        <f>17154*0.231</f>
        <v>3962.5740000000001</v>
      </c>
      <c r="J33" s="318">
        <f>142838*0.231</f>
        <v>32995.578000000001</v>
      </c>
      <c r="K33" s="291">
        <f>30901*0.769</f>
        <v>23762.868999999999</v>
      </c>
      <c r="L33" s="293">
        <f>SUM(G33:K33)</f>
        <v>129775.23699999999</v>
      </c>
    </row>
    <row r="34" spans="1:12" s="359" customFormat="1" x14ac:dyDescent="0.25">
      <c r="A34" s="281"/>
      <c r="B34" s="295">
        <v>2</v>
      </c>
      <c r="C34" s="296">
        <f t="shared" si="3"/>
        <v>6</v>
      </c>
      <c r="D34" s="395" t="s">
        <v>339</v>
      </c>
      <c r="E34" s="395" t="s">
        <v>330</v>
      </c>
      <c r="F34" s="297" t="s">
        <v>102</v>
      </c>
      <c r="G34" s="291">
        <f>45677*0.769</f>
        <v>35125.612999999998</v>
      </c>
      <c r="H34" s="291">
        <f>253259*0.769</f>
        <v>194756.171</v>
      </c>
      <c r="I34" s="291">
        <f>17154*0.769</f>
        <v>13191.425999999999</v>
      </c>
      <c r="J34" s="318">
        <f>142838*0.769</f>
        <v>109842.42200000001</v>
      </c>
      <c r="K34" s="291">
        <f>30901*0.231</f>
        <v>7138.1310000000003</v>
      </c>
      <c r="L34" s="293">
        <f t="shared" ref="L34:L97" si="4">SUM(G34:K34)</f>
        <v>360053.76299999998</v>
      </c>
    </row>
    <row r="35" spans="1:12" s="359" customFormat="1" ht="30.75" x14ac:dyDescent="0.25">
      <c r="A35" s="281"/>
      <c r="B35" s="295">
        <v>3</v>
      </c>
      <c r="C35" s="296">
        <f t="shared" si="3"/>
        <v>6</v>
      </c>
      <c r="D35" s="395" t="s">
        <v>342</v>
      </c>
      <c r="E35" s="395" t="s">
        <v>331</v>
      </c>
      <c r="F35" s="297" t="s">
        <v>103</v>
      </c>
      <c r="G35" s="291">
        <f>519675-F16-G33-G34-G36</f>
        <v>261222</v>
      </c>
      <c r="H35" s="291">
        <v>1841058</v>
      </c>
      <c r="I35" s="291">
        <v>124701</v>
      </c>
      <c r="J35" s="318">
        <v>1038356</v>
      </c>
      <c r="K35" s="291">
        <v>224630</v>
      </c>
      <c r="L35" s="293">
        <f t="shared" si="4"/>
        <v>3489967</v>
      </c>
    </row>
    <row r="36" spans="1:12" s="359" customFormat="1" ht="30.75" x14ac:dyDescent="0.25">
      <c r="A36" s="281"/>
      <c r="B36" s="295">
        <v>4</v>
      </c>
      <c r="C36" s="296">
        <f t="shared" si="3"/>
        <v>6</v>
      </c>
      <c r="D36" s="395" t="s">
        <v>340</v>
      </c>
      <c r="E36" s="395" t="s">
        <v>343</v>
      </c>
      <c r="F36" s="297" t="s">
        <v>103</v>
      </c>
      <c r="G36" s="291">
        <v>70826</v>
      </c>
      <c r="H36" s="291">
        <v>0</v>
      </c>
      <c r="I36" s="291">
        <v>0</v>
      </c>
      <c r="J36" s="318">
        <v>0</v>
      </c>
      <c r="K36" s="291">
        <v>0</v>
      </c>
      <c r="L36" s="293">
        <f t="shared" si="4"/>
        <v>70826</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fitToHeight="0"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11" zoomScale="55" zoomScaleNormal="55" zoomScaleSheetLayoutView="40" zoomScalePageLayoutView="80" workbookViewId="0">
      <selection activeCell="A16" sqref="A16:XFD1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Colusa</v>
      </c>
      <c r="F7" s="94" t="s">
        <v>2</v>
      </c>
      <c r="G7" s="109">
        <f>IF(ISBLANK('1. Information'!D7),"",'1. Information'!D7)</f>
        <v>43544</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1"/>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1"/>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v>15026</v>
      </c>
      <c r="G16" s="353">
        <v>0</v>
      </c>
      <c r="H16" s="353">
        <v>0</v>
      </c>
      <c r="I16" s="353">
        <v>0</v>
      </c>
      <c r="J16" s="353">
        <v>0</v>
      </c>
      <c r="K16" s="292">
        <f t="shared" si="0"/>
        <v>15026</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1"/>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1"/>
      <c r="F18" s="389">
        <v>23400</v>
      </c>
      <c r="G18" s="403"/>
      <c r="H18" s="403"/>
      <c r="I18" s="403"/>
      <c r="J18" s="403"/>
      <c r="K18" s="292">
        <f t="shared" si="0"/>
        <v>23400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1"/>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4" t="s">
        <v>150</v>
      </c>
      <c r="D20" s="444"/>
      <c r="E20" s="444"/>
      <c r="F20" s="315">
        <f>SUMIF($G$36:$G$135,"Combined Summary",L$36:L$135) + SUMIF($F$36:$F$135,"Standalone",L$36:L$135)</f>
        <v>216331</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216331</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231357</v>
      </c>
      <c r="G21" s="8">
        <f t="shared" ref="G21:K21" si="1">SUM(G14:G16,G19:G20)</f>
        <v>0</v>
      </c>
      <c r="H21" s="8">
        <f t="shared" si="1"/>
        <v>0</v>
      </c>
      <c r="I21" s="8">
        <f t="shared" si="1"/>
        <v>0</v>
      </c>
      <c r="J21" s="8">
        <f t="shared" si="1"/>
        <v>0</v>
      </c>
      <c r="K21" s="8">
        <f t="shared" si="1"/>
        <v>231357</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0.93505275396897436</v>
      </c>
      <c r="G29" s="79">
        <v>0.42</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6</v>
      </c>
      <c r="D36" s="395" t="s">
        <v>332</v>
      </c>
      <c r="E36" s="395" t="s">
        <v>327</v>
      </c>
      <c r="F36" s="416" t="s">
        <v>143</v>
      </c>
      <c r="G36" s="417" t="s">
        <v>145</v>
      </c>
      <c r="H36" s="416"/>
      <c r="I36" s="134">
        <v>1</v>
      </c>
      <c r="J36" s="134">
        <v>1</v>
      </c>
      <c r="K36" s="350">
        <f>IF(OR(G36="Combined Summary",F36="Standalone"),(SUMPRODUCT(--(D$36:D$135=D36),I$36:I$135,J$36:J$135)),"")</f>
        <v>1</v>
      </c>
      <c r="L36" s="291">
        <f>254757-L37-L38-L39-F18-F16</f>
        <v>182480</v>
      </c>
      <c r="M36" s="352">
        <v>0</v>
      </c>
      <c r="N36" s="116">
        <v>0</v>
      </c>
      <c r="O36" s="116">
        <v>0</v>
      </c>
      <c r="P36" s="116"/>
      <c r="Q36" s="351">
        <f>SUM(L36:P36)</f>
        <v>182480</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6</v>
      </c>
      <c r="D37" s="395" t="s">
        <v>333</v>
      </c>
      <c r="E37" s="395" t="s">
        <v>327</v>
      </c>
      <c r="F37" s="416" t="s">
        <v>143</v>
      </c>
      <c r="G37" s="417" t="s">
        <v>136</v>
      </c>
      <c r="H37" s="125"/>
      <c r="I37" s="134">
        <v>1</v>
      </c>
      <c r="J37" s="134">
        <v>1</v>
      </c>
      <c r="K37" s="350">
        <f t="shared" ref="K37:K100" si="3">IF(OR(G37="Combined Summary",F37="Standalone"),(SUMPRODUCT(--(D$36:D$135=D37),I$36:I$135,J$36:J$135)),"")</f>
        <v>1</v>
      </c>
      <c r="L37" s="291">
        <v>24166</v>
      </c>
      <c r="M37" s="352">
        <v>0</v>
      </c>
      <c r="N37" s="116">
        <v>0</v>
      </c>
      <c r="O37" s="116">
        <v>0</v>
      </c>
      <c r="P37" s="116"/>
      <c r="Q37" s="351">
        <f t="shared" ref="Q37:Q100" si="4">SUM(L37:P37)</f>
        <v>24166</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6</v>
      </c>
      <c r="D38" s="395" t="s">
        <v>334</v>
      </c>
      <c r="E38" s="395" t="s">
        <v>327</v>
      </c>
      <c r="F38" s="416" t="s">
        <v>143</v>
      </c>
      <c r="G38" s="417" t="s">
        <v>136</v>
      </c>
      <c r="H38" s="125"/>
      <c r="I38" s="134">
        <v>1</v>
      </c>
      <c r="J38" s="134">
        <v>1</v>
      </c>
      <c r="K38" s="350">
        <f t="shared" si="3"/>
        <v>1</v>
      </c>
      <c r="L38" s="291">
        <v>5539</v>
      </c>
      <c r="M38" s="352">
        <v>0</v>
      </c>
      <c r="N38" s="116">
        <v>0</v>
      </c>
      <c r="O38" s="116">
        <v>0</v>
      </c>
      <c r="P38" s="116"/>
      <c r="Q38" s="351">
        <f t="shared" si="4"/>
        <v>5539</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6</v>
      </c>
      <c r="D39" s="395" t="s">
        <v>335</v>
      </c>
      <c r="E39" s="395" t="s">
        <v>327</v>
      </c>
      <c r="F39" s="125" t="s">
        <v>143</v>
      </c>
      <c r="G39" s="107" t="s">
        <v>137</v>
      </c>
      <c r="H39" s="125"/>
      <c r="I39" s="134">
        <v>1</v>
      </c>
      <c r="J39" s="134">
        <v>1</v>
      </c>
      <c r="K39" s="350">
        <f t="shared" si="3"/>
        <v>1</v>
      </c>
      <c r="L39" s="291">
        <v>4146</v>
      </c>
      <c r="M39" s="352">
        <v>0</v>
      </c>
      <c r="N39" s="116">
        <v>0</v>
      </c>
      <c r="O39" s="116">
        <v>0</v>
      </c>
      <c r="P39" s="116"/>
      <c r="Q39" s="351">
        <f t="shared" si="4"/>
        <v>4146</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416"/>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A8" zoomScale="70" zoomScaleNormal="70" zoomScaleSheetLayoutView="40" workbookViewId="0">
      <selection activeCell="C15" sqref="C15:E15"/>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7" t="s">
        <v>1</v>
      </c>
      <c r="C7" s="447"/>
      <c r="D7" s="9" t="str">
        <f>IF(ISBLANK('1. Information'!D8),"",'1. Information'!D8)</f>
        <v>Colusa</v>
      </c>
      <c r="F7" s="94" t="s">
        <v>2</v>
      </c>
      <c r="G7" s="109">
        <f>IF(ISBLANK('1. Information'!D7),"",'1. Information'!D7)</f>
        <v>43544</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61"/>
      <c r="D13" s="461"/>
      <c r="E13" s="461"/>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411">
        <v>5223</v>
      </c>
      <c r="G15" s="411">
        <v>0</v>
      </c>
      <c r="H15" s="412">
        <v>0</v>
      </c>
      <c r="I15" s="412">
        <v>0</v>
      </c>
      <c r="J15" s="413">
        <v>0</v>
      </c>
      <c r="K15" s="293">
        <f>SUM(F15:J15)</f>
        <v>5223</v>
      </c>
      <c r="L15"/>
      <c r="M15"/>
      <c r="N15"/>
      <c r="O15" s="108"/>
      <c r="P15" s="108"/>
    </row>
    <row r="16" spans="2:16" ht="15.75" x14ac:dyDescent="0.25">
      <c r="B16" s="405">
        <v>3</v>
      </c>
      <c r="C16" s="441" t="s">
        <v>314</v>
      </c>
      <c r="D16" s="442"/>
      <c r="E16" s="443"/>
      <c r="F16" s="367"/>
      <c r="G16" s="19"/>
      <c r="H16" s="19"/>
      <c r="I16" s="19"/>
      <c r="J16" s="19"/>
      <c r="K16" s="293">
        <f>SUM(F16:J16)</f>
        <v>0</v>
      </c>
      <c r="L16" s="404"/>
      <c r="M16" s="404"/>
      <c r="N16" s="404"/>
      <c r="O16" s="108"/>
      <c r="P16" s="108"/>
    </row>
    <row r="17" spans="2:17" ht="15.75" x14ac:dyDescent="0.25">
      <c r="B17" s="405">
        <v>4</v>
      </c>
      <c r="C17" s="441" t="s">
        <v>315</v>
      </c>
      <c r="D17" s="442"/>
      <c r="E17" s="443"/>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83325</v>
      </c>
      <c r="G20" s="47">
        <f>SUMIF($J$29:$J$132,"Project Direct",L$29:L$132)</f>
        <v>0</v>
      </c>
      <c r="H20" s="19">
        <f>SUMIF($J$29:$J$132,"Project Direct",M$29:M$132)</f>
        <v>0</v>
      </c>
      <c r="I20" s="19">
        <f>SUMIF($J$29:$J$132,"Project Direct",N$29:N$132)</f>
        <v>0</v>
      </c>
      <c r="J20" s="19">
        <f>SUMIF($J$29:$J$132,"Project Direct",O$29:O$132)</f>
        <v>0</v>
      </c>
      <c r="K20" s="293">
        <f t="shared" si="0"/>
        <v>83325</v>
      </c>
      <c r="L20"/>
      <c r="M20"/>
      <c r="N20"/>
      <c r="O20" s="108"/>
      <c r="P20" s="108"/>
    </row>
    <row r="21" spans="2:17" ht="15.75" x14ac:dyDescent="0.25">
      <c r="B21" s="101">
        <v>8</v>
      </c>
      <c r="C21" s="460" t="s">
        <v>164</v>
      </c>
      <c r="D21" s="460"/>
      <c r="E21" s="460"/>
      <c r="F21" s="18">
        <f>SUM(F18:F20)</f>
        <v>83325</v>
      </c>
      <c r="G21" s="48">
        <f>SUM(G18:G20)</f>
        <v>0</v>
      </c>
      <c r="H21" s="18">
        <f>SUM(H18:H20)</f>
        <v>0</v>
      </c>
      <c r="I21" s="18">
        <f>SUM(I18:I20)</f>
        <v>0</v>
      </c>
      <c r="J21" s="18">
        <f t="shared" ref="J21" si="1">SUM(J18:J20)</f>
        <v>0</v>
      </c>
      <c r="K21" s="18">
        <f t="shared" ref="K21" si="2">SUM(K18:K20)</f>
        <v>83325</v>
      </c>
      <c r="L21"/>
      <c r="M21"/>
      <c r="N21"/>
      <c r="O21" s="108"/>
      <c r="P21" s="108"/>
    </row>
    <row r="22" spans="2:17" ht="30.95" customHeight="1" x14ac:dyDescent="0.25">
      <c r="B22" s="101">
        <v>9</v>
      </c>
      <c r="C22" s="457" t="s">
        <v>316</v>
      </c>
      <c r="D22" s="457"/>
      <c r="E22" s="457"/>
      <c r="F22" s="20">
        <f t="shared" ref="F22:K22" si="3">SUM(F14:F15,F17,F18:F20)</f>
        <v>88548</v>
      </c>
      <c r="G22" s="20">
        <f t="shared" si="3"/>
        <v>0</v>
      </c>
      <c r="H22" s="20">
        <f t="shared" si="3"/>
        <v>0</v>
      </c>
      <c r="I22" s="20">
        <f t="shared" si="3"/>
        <v>0</v>
      </c>
      <c r="J22" s="20">
        <f t="shared" si="3"/>
        <v>0</v>
      </c>
      <c r="K22" s="20">
        <f t="shared" si="3"/>
        <v>88548</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6</v>
      </c>
      <c r="D29" s="395" t="s">
        <v>336</v>
      </c>
      <c r="E29" s="421" t="s">
        <v>329</v>
      </c>
      <c r="F29" s="421" t="s">
        <v>328</v>
      </c>
      <c r="G29" s="138">
        <v>41456</v>
      </c>
      <c r="H29" s="290" t="s">
        <v>337</v>
      </c>
      <c r="I29" s="290"/>
      <c r="J29" s="118" t="s">
        <v>158</v>
      </c>
      <c r="K29" s="120"/>
      <c r="L29" s="120"/>
      <c r="M29" s="116"/>
      <c r="N29" s="116"/>
      <c r="O29" s="129"/>
      <c r="P29" s="293">
        <f t="shared" ref="P29:P64" si="4">SUM(K29:O29)</f>
        <v>0</v>
      </c>
    </row>
    <row r="30" spans="2:17" x14ac:dyDescent="0.2">
      <c r="B30" s="123">
        <v>1</v>
      </c>
      <c r="C30" s="139">
        <f t="shared" ref="C30:I31" si="5">IF(ISBLANK(C29),"",C29)</f>
        <v>6</v>
      </c>
      <c r="D30" s="397" t="str">
        <f t="shared" si="5"/>
        <v>Forensic Program</v>
      </c>
      <c r="E30" s="140" t="str">
        <f t="shared" si="5"/>
        <v>MHSA Forenic Program</v>
      </c>
      <c r="F30" s="140" t="str">
        <f t="shared" si="5"/>
        <v>n/a</v>
      </c>
      <c r="G30" s="140">
        <f t="shared" si="5"/>
        <v>41456</v>
      </c>
      <c r="H30" s="122" t="str">
        <f t="shared" si="5"/>
        <v>Per Director, Prog.started before MHSOAC functional</v>
      </c>
      <c r="I30" s="122" t="str">
        <f t="shared" si="5"/>
        <v/>
      </c>
      <c r="J30" s="119" t="s">
        <v>159</v>
      </c>
      <c r="K30" s="120"/>
      <c r="L30" s="120"/>
      <c r="M30" s="116"/>
      <c r="N30" s="116"/>
      <c r="O30" s="129"/>
      <c r="P30" s="293">
        <f t="shared" si="4"/>
        <v>0</v>
      </c>
    </row>
    <row r="31" spans="2:17" x14ac:dyDescent="0.2">
      <c r="B31" s="123">
        <v>1</v>
      </c>
      <c r="C31" s="139">
        <f t="shared" ref="C31:H31" si="6">IF(ISBLANK(C29),"",C29)</f>
        <v>6</v>
      </c>
      <c r="D31" s="398" t="str">
        <f t="shared" si="6"/>
        <v>Forensic Program</v>
      </c>
      <c r="E31" s="141" t="str">
        <f t="shared" si="6"/>
        <v>MHSA Forenic Program</v>
      </c>
      <c r="F31" s="141" t="str">
        <f t="shared" si="6"/>
        <v>n/a</v>
      </c>
      <c r="G31" s="141">
        <f t="shared" si="6"/>
        <v>41456</v>
      </c>
      <c r="H31" s="119" t="str">
        <f t="shared" si="6"/>
        <v>Per Director, Prog.started before MHSOAC functional</v>
      </c>
      <c r="I31" s="119" t="str">
        <f t="shared" si="5"/>
        <v/>
      </c>
      <c r="J31" s="119" t="s">
        <v>237</v>
      </c>
      <c r="K31" s="120">
        <f>88548-5223</f>
        <v>83325</v>
      </c>
      <c r="L31" s="120">
        <v>0</v>
      </c>
      <c r="M31" s="116">
        <v>0</v>
      </c>
      <c r="N31" s="116">
        <v>0</v>
      </c>
      <c r="O31" s="129">
        <v>0</v>
      </c>
      <c r="P31" s="293">
        <f t="shared" si="4"/>
        <v>83325</v>
      </c>
    </row>
    <row r="32" spans="2:17" ht="15.75" x14ac:dyDescent="0.25">
      <c r="B32" s="96">
        <v>1</v>
      </c>
      <c r="C32" s="22">
        <f t="shared" ref="C32:I32" si="7">IF(ISBLANK(C29),"",C29)</f>
        <v>6</v>
      </c>
      <c r="D32" s="399" t="str">
        <f t="shared" si="7"/>
        <v>Forensic Program</v>
      </c>
      <c r="E32" s="33" t="str">
        <f t="shared" si="7"/>
        <v>MHSA Forenic Program</v>
      </c>
      <c r="F32" s="33" t="str">
        <f t="shared" si="7"/>
        <v>n/a</v>
      </c>
      <c r="G32" s="33">
        <f t="shared" si="7"/>
        <v>41456</v>
      </c>
      <c r="H32" s="34" t="str">
        <f t="shared" si="7"/>
        <v>Per Director, Prog.started before MHSOAC functional</v>
      </c>
      <c r="I32" s="34" t="str">
        <f t="shared" si="7"/>
        <v/>
      </c>
      <c r="J32" s="8" t="s">
        <v>263</v>
      </c>
      <c r="K32" s="50">
        <f>SUM(K29:K31)</f>
        <v>83325</v>
      </c>
      <c r="L32" s="50">
        <f>SUM(L29:L31)</f>
        <v>0</v>
      </c>
      <c r="M32" s="35">
        <f t="shared" ref="M32:O32" si="8">SUM(M29:M31)</f>
        <v>0</v>
      </c>
      <c r="N32" s="35">
        <f t="shared" si="8"/>
        <v>0</v>
      </c>
      <c r="O32" s="311">
        <f t="shared" si="8"/>
        <v>0</v>
      </c>
      <c r="P32" s="8">
        <f t="shared" si="4"/>
        <v>83325</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6"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3" zoomScale="70" zoomScaleNormal="70" zoomScaleSheetLayoutView="55" workbookViewId="0">
      <selection activeCell="E30" sqref="E30:E32"/>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Colusa</v>
      </c>
      <c r="F7" s="94" t="s">
        <v>2</v>
      </c>
      <c r="G7" s="38">
        <f>IF(ISBLANK('1. Information'!D7),"",'1. Information'!D7)</f>
        <v>43544</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1"/>
      <c r="F14" s="290"/>
      <c r="G14" s="142"/>
      <c r="H14" s="142"/>
      <c r="I14" s="142"/>
      <c r="J14" s="142"/>
      <c r="K14" s="292">
        <f>SUM(F14:J14)</f>
        <v>0</v>
      </c>
      <c r="L14"/>
      <c r="M14"/>
      <c r="N14" s="108"/>
      <c r="O14" s="108"/>
    </row>
    <row r="15" spans="1:22" ht="15.75" x14ac:dyDescent="0.25">
      <c r="A15" s="108"/>
      <c r="B15" s="101">
        <v>2</v>
      </c>
      <c r="C15" s="445" t="s">
        <v>17</v>
      </c>
      <c r="D15" s="445"/>
      <c r="E15" s="441"/>
      <c r="F15" s="290"/>
      <c r="G15" s="142"/>
      <c r="H15" s="142"/>
      <c r="I15" s="142"/>
      <c r="J15" s="142"/>
      <c r="K15" s="292">
        <f t="shared" ref="K15:K19" si="0">SUM(F15:J15)</f>
        <v>0</v>
      </c>
      <c r="L15"/>
      <c r="M15"/>
      <c r="N15" s="108"/>
      <c r="O15" s="108"/>
    </row>
    <row r="16" spans="1:22" ht="15.75" x14ac:dyDescent="0.25">
      <c r="A16" s="108"/>
      <c r="B16" s="101">
        <v>3</v>
      </c>
      <c r="C16" s="445" t="s">
        <v>238</v>
      </c>
      <c r="D16" s="445"/>
      <c r="E16" s="441"/>
      <c r="F16" s="290">
        <f>1197+14</f>
        <v>1211</v>
      </c>
      <c r="G16" s="355">
        <v>0</v>
      </c>
      <c r="H16" s="355">
        <v>0</v>
      </c>
      <c r="I16" s="355">
        <v>0</v>
      </c>
      <c r="J16" s="355">
        <v>0</v>
      </c>
      <c r="K16" s="292">
        <f t="shared" si="0"/>
        <v>1211</v>
      </c>
      <c r="L16"/>
      <c r="M16"/>
      <c r="N16" s="108"/>
      <c r="O16" s="108"/>
    </row>
    <row r="17" spans="1:22" ht="15.75" x14ac:dyDescent="0.25">
      <c r="A17" s="108"/>
      <c r="B17" s="101">
        <v>4</v>
      </c>
      <c r="C17" s="445" t="s">
        <v>221</v>
      </c>
      <c r="D17" s="445"/>
      <c r="E17" s="441"/>
      <c r="F17" s="367"/>
      <c r="G17" s="119"/>
      <c r="H17" s="119"/>
      <c r="I17" s="119"/>
      <c r="J17" s="119"/>
      <c r="K17" s="292">
        <f t="shared" si="0"/>
        <v>0</v>
      </c>
      <c r="L17"/>
      <c r="M17"/>
      <c r="N17" s="108"/>
      <c r="O17" s="108"/>
    </row>
    <row r="18" spans="1:22" ht="15.75" x14ac:dyDescent="0.25">
      <c r="A18" s="108"/>
      <c r="B18" s="101">
        <v>5</v>
      </c>
      <c r="C18" s="445" t="s">
        <v>222</v>
      </c>
      <c r="D18" s="445"/>
      <c r="E18" s="441"/>
      <c r="F18" s="367"/>
      <c r="G18" s="119"/>
      <c r="H18" s="119"/>
      <c r="I18" s="119"/>
      <c r="J18" s="119"/>
      <c r="K18" s="292">
        <f t="shared" si="0"/>
        <v>0</v>
      </c>
      <c r="L18"/>
      <c r="M18"/>
      <c r="N18" s="108"/>
      <c r="O18" s="108"/>
    </row>
    <row r="19" spans="1:22" ht="15.75" x14ac:dyDescent="0.25">
      <c r="A19" s="108"/>
      <c r="B19" s="101">
        <v>6</v>
      </c>
      <c r="C19" s="441" t="s">
        <v>174</v>
      </c>
      <c r="D19" s="442"/>
      <c r="E19" s="443"/>
      <c r="F19" s="122">
        <f>SUM(E28:E32)</f>
        <v>19327</v>
      </c>
      <c r="G19" s="121">
        <f t="shared" ref="G19:I19" si="1">SUM(F28:F32)</f>
        <v>0</v>
      </c>
      <c r="H19" s="122">
        <f t="shared" si="1"/>
        <v>0</v>
      </c>
      <c r="I19" s="122">
        <f t="shared" si="1"/>
        <v>0</v>
      </c>
      <c r="J19" s="122">
        <f>SUM(I28:I32)</f>
        <v>0</v>
      </c>
      <c r="K19" s="293">
        <f t="shared" si="0"/>
        <v>19327</v>
      </c>
      <c r="L19"/>
      <c r="M19"/>
      <c r="N19" s="108"/>
      <c r="O19" s="108"/>
    </row>
    <row r="20" spans="1:22" ht="30.95" customHeight="1" x14ac:dyDescent="0.25">
      <c r="A20" s="108"/>
      <c r="B20" s="101">
        <v>7</v>
      </c>
      <c r="C20" s="457" t="s">
        <v>220</v>
      </c>
      <c r="D20" s="457"/>
      <c r="E20" s="457"/>
      <c r="F20" s="8">
        <f>SUM(F14:F16,F18:F19)</f>
        <v>20538</v>
      </c>
      <c r="G20" s="43">
        <f t="shared" ref="G20:J20" si="2">SUM(G14:G16,G18:G19)</f>
        <v>0</v>
      </c>
      <c r="H20" s="7">
        <f t="shared" si="2"/>
        <v>0</v>
      </c>
      <c r="I20" s="7">
        <f t="shared" si="2"/>
        <v>0</v>
      </c>
      <c r="J20" s="7">
        <f t="shared" si="2"/>
        <v>0</v>
      </c>
      <c r="K20" s="8">
        <f>SUM(K14:K16,K18:K19)</f>
        <v>20538</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f>IF(J30&lt;&gt;0,VLOOKUP($D$7,Info_County_Code,2,FALSE),"")</f>
        <v>6</v>
      </c>
      <c r="D30" s="145" t="s">
        <v>107</v>
      </c>
      <c r="E30" s="116">
        <v>7101</v>
      </c>
      <c r="F30" s="120">
        <v>0</v>
      </c>
      <c r="G30" s="116">
        <v>0</v>
      </c>
      <c r="H30" s="116">
        <v>0</v>
      </c>
      <c r="I30" s="313">
        <v>0</v>
      </c>
      <c r="J30" s="119">
        <f t="shared" si="3"/>
        <v>7101</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6</v>
      </c>
      <c r="D32" s="145" t="s">
        <v>109</v>
      </c>
      <c r="E32" s="116">
        <f>12240-14</f>
        <v>12226</v>
      </c>
      <c r="F32" s="120">
        <v>0</v>
      </c>
      <c r="G32" s="116">
        <v>0</v>
      </c>
      <c r="H32" s="116">
        <v>0</v>
      </c>
      <c r="I32" s="313">
        <v>0</v>
      </c>
      <c r="J32" s="119">
        <f t="shared" si="3"/>
        <v>12226</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F14" sqref="F14:J1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Colusa</v>
      </c>
      <c r="E7" s="16"/>
      <c r="F7" s="95" t="s">
        <v>2</v>
      </c>
      <c r="G7" s="109">
        <f>IF(ISBLANK('1. Information'!D7),"",'1. Information'!D7)</f>
        <v>43544</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7" t="s">
        <v>213</v>
      </c>
      <c r="H12" s="447"/>
      <c r="I12" s="447"/>
      <c r="J12" s="447"/>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1"/>
      <c r="F14" s="142">
        <v>0</v>
      </c>
      <c r="G14" s="142">
        <v>0</v>
      </c>
      <c r="H14" s="142">
        <v>0</v>
      </c>
      <c r="I14" s="142">
        <v>0</v>
      </c>
      <c r="J14" s="142">
        <v>0</v>
      </c>
      <c r="K14" s="118">
        <f>SUM(F14:J14)</f>
        <v>0</v>
      </c>
      <c r="L14"/>
      <c r="M14"/>
      <c r="U14" s="108"/>
      <c r="V14" s="108"/>
      <c r="W14" s="108"/>
    </row>
    <row r="15" spans="2:23" x14ac:dyDescent="0.25">
      <c r="B15" s="101">
        <v>2</v>
      </c>
      <c r="C15" s="445" t="s">
        <v>188</v>
      </c>
      <c r="D15" s="445"/>
      <c r="E15" s="441"/>
      <c r="F15" s="142">
        <v>0</v>
      </c>
      <c r="G15" s="142">
        <v>0</v>
      </c>
      <c r="H15" s="142">
        <v>0</v>
      </c>
      <c r="I15" s="142">
        <v>0</v>
      </c>
      <c r="J15" s="142">
        <v>0</v>
      </c>
      <c r="K15" s="118">
        <f t="shared" ref="K15:K20" si="0">SUM(F15:J15)</f>
        <v>0</v>
      </c>
      <c r="L15"/>
      <c r="M15"/>
      <c r="U15" s="108"/>
      <c r="V15" s="108"/>
      <c r="W15" s="108"/>
    </row>
    <row r="16" spans="2:23" x14ac:dyDescent="0.25">
      <c r="B16" s="101">
        <v>3</v>
      </c>
      <c r="C16" s="445" t="s">
        <v>123</v>
      </c>
      <c r="D16" s="445"/>
      <c r="E16" s="441"/>
      <c r="F16" s="142">
        <v>0</v>
      </c>
      <c r="G16" s="142">
        <v>0</v>
      </c>
      <c r="H16" s="142">
        <v>0</v>
      </c>
      <c r="I16" s="142">
        <v>0</v>
      </c>
      <c r="J16" s="142">
        <v>0</v>
      </c>
      <c r="K16" s="118">
        <f t="shared" si="0"/>
        <v>0</v>
      </c>
      <c r="L16"/>
      <c r="M16"/>
      <c r="U16" s="108"/>
      <c r="V16" s="108"/>
      <c r="W16" s="108"/>
    </row>
    <row r="17" spans="2:23" x14ac:dyDescent="0.25">
      <c r="B17" s="101">
        <v>4</v>
      </c>
      <c r="C17" s="445" t="s">
        <v>122</v>
      </c>
      <c r="D17" s="445"/>
      <c r="E17" s="441"/>
      <c r="F17" s="142">
        <v>0</v>
      </c>
      <c r="G17" s="142">
        <v>0</v>
      </c>
      <c r="H17" s="142">
        <v>0</v>
      </c>
      <c r="I17" s="142">
        <v>0</v>
      </c>
      <c r="J17" s="142">
        <v>0</v>
      </c>
      <c r="K17" s="118">
        <f t="shared" si="0"/>
        <v>0</v>
      </c>
      <c r="L17"/>
      <c r="M17"/>
      <c r="U17" s="108"/>
      <c r="V17" s="108"/>
      <c r="W17" s="108"/>
    </row>
    <row r="18" spans="2:23" x14ac:dyDescent="0.25">
      <c r="B18" s="101">
        <v>5</v>
      </c>
      <c r="C18" s="445" t="s">
        <v>239</v>
      </c>
      <c r="D18" s="445"/>
      <c r="E18" s="441"/>
      <c r="F18" s="142">
        <v>0</v>
      </c>
      <c r="G18" s="142">
        <v>0</v>
      </c>
      <c r="H18" s="142">
        <v>0</v>
      </c>
      <c r="I18" s="142">
        <v>0</v>
      </c>
      <c r="J18" s="142">
        <v>0</v>
      </c>
      <c r="K18" s="118">
        <f t="shared" si="0"/>
        <v>0</v>
      </c>
      <c r="L18"/>
      <c r="M18"/>
      <c r="U18" s="108"/>
      <c r="V18" s="108"/>
      <c r="W18" s="108"/>
    </row>
    <row r="19" spans="2:23" x14ac:dyDescent="0.25">
      <c r="B19" s="101">
        <v>6</v>
      </c>
      <c r="C19" s="445" t="s">
        <v>240</v>
      </c>
      <c r="D19" s="445"/>
      <c r="E19" s="441"/>
      <c r="F19" s="142">
        <v>0</v>
      </c>
      <c r="G19" s="142">
        <v>0</v>
      </c>
      <c r="H19" s="142">
        <v>0</v>
      </c>
      <c r="I19" s="142">
        <v>0</v>
      </c>
      <c r="J19" s="142">
        <v>0</v>
      </c>
      <c r="K19" s="118">
        <f t="shared" si="0"/>
        <v>0</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6" t="s">
        <v>20</v>
      </c>
      <c r="D21" s="466"/>
      <c r="E21" s="466"/>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364" t="s">
        <v>341</v>
      </c>
      <c r="E28" s="151"/>
      <c r="F28" s="125"/>
      <c r="G28" s="117">
        <v>0</v>
      </c>
      <c r="H28" s="126">
        <v>0</v>
      </c>
      <c r="I28" s="126">
        <v>0</v>
      </c>
      <c r="J28" s="117">
        <v>0</v>
      </c>
      <c r="K28" s="312">
        <v>0</v>
      </c>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2019-04-30T05:48:06Z</cp:lastPrinted>
  <dcterms:created xsi:type="dcterms:W3CDTF">2017-07-05T19:48:18Z</dcterms:created>
  <dcterms:modified xsi:type="dcterms:W3CDTF">2019-05-21T20:44:21Z</dcterms:modified>
</cp:coreProperties>
</file>