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rv04\Home$\bhendry\Documents\MH\Cost Report\FY 17-18\RER Docs\State Docs\"/>
    </mc:Choice>
  </mc:AlternateContent>
  <bookViews>
    <workbookView xWindow="0" yWindow="0" windowWidth="28800" windowHeight="15390" tabRatio="584" firstSheet="4"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19" l="1"/>
  <c r="K34" i="22" l="1"/>
  <c r="K33" i="2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2" i="2" l="1"/>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K123" i="2" l="1"/>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C119" i="3"/>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99" i="3"/>
  <c r="C115" i="3"/>
  <c r="C118" i="3"/>
  <c r="P96" i="3"/>
  <c r="C93" i="3" s="1"/>
  <c r="C96" i="3" s="1"/>
  <c r="P36" i="3"/>
  <c r="C33" i="3" s="1"/>
  <c r="C111" i="3" l="1"/>
  <c r="C114" i="3"/>
  <c r="C91" i="3"/>
  <c r="C106" i="3"/>
  <c r="C110" i="3"/>
  <c r="C127" i="3"/>
  <c r="C123" i="3"/>
  <c r="C90" i="3"/>
  <c r="C107" i="3"/>
  <c r="C122" i="3"/>
  <c r="C95" i="3"/>
  <c r="C128" i="3"/>
  <c r="C103" i="3"/>
  <c r="C94" i="3"/>
  <c r="C129" i="3"/>
  <c r="C132" i="3" s="1"/>
  <c r="C98" i="3"/>
  <c r="C102" i="3"/>
  <c r="B3" i="20"/>
  <c r="B4" i="20"/>
  <c r="C130" i="3" l="1"/>
  <c r="C131" i="3"/>
  <c r="K30" i="19"/>
  <c r="K35" i="19" s="1"/>
  <c r="M27" i="19"/>
  <c r="D17" i="19" s="1"/>
  <c r="H27" i="19"/>
  <c r="G27" i="19"/>
  <c r="J15" i="7" l="1"/>
  <c r="J14" i="7"/>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C32" i="5" s="1"/>
  <c r="J31" i="5"/>
  <c r="C31" i="5" s="1"/>
  <c r="J30" i="5"/>
  <c r="C30" i="5" s="1"/>
  <c r="J29" i="5"/>
  <c r="C29" i="5" s="1"/>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4" i="22" l="1"/>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C16" i="10" s="1"/>
  <c r="D7" i="7"/>
  <c r="D7" i="6"/>
  <c r="D7" i="5"/>
  <c r="D7" i="3"/>
  <c r="D7" i="2"/>
  <c r="C71" i="17"/>
  <c r="B71" i="17"/>
  <c r="E71" i="17" s="1"/>
  <c r="E70" i="17"/>
  <c r="C69" i="17"/>
  <c r="B69" i="17"/>
  <c r="E69" i="17" s="1"/>
  <c r="C14" i="7" l="1"/>
  <c r="C15" i="7"/>
  <c r="C14" i="10"/>
  <c r="C13" i="10"/>
  <c r="C15" i="10"/>
  <c r="C37" i="2"/>
  <c r="C39" i="2"/>
  <c r="C41" i="2"/>
  <c r="C38" i="2"/>
  <c r="C40" i="2"/>
  <c r="C36"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70" i="3"/>
  <c r="C71" i="3"/>
  <c r="C66" i="3"/>
  <c r="C67" i="3"/>
  <c r="C63" i="3"/>
  <c r="C56" i="3"/>
  <c r="C55" i="3"/>
  <c r="C39" i="3"/>
  <c r="C43" i="3" l="1"/>
  <c r="C47" i="3"/>
  <c r="C60" i="3"/>
  <c r="C79" i="3"/>
  <c r="C75" i="3"/>
  <c r="C83" i="3"/>
  <c r="C52" i="3"/>
  <c r="C76" i="3"/>
  <c r="C87" i="3"/>
  <c r="C58" i="3"/>
  <c r="C78" i="3"/>
  <c r="C50" i="3"/>
  <c r="C38" i="3"/>
  <c r="C44" i="3"/>
  <c r="C46" i="3"/>
  <c r="C64" i="3"/>
  <c r="C82" i="3"/>
  <c r="C86"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J21" i="6"/>
  <c r="H34" i="19" s="1"/>
  <c r="K20" i="6" l="1"/>
  <c r="K21" i="6" s="1"/>
  <c r="G21" i="6"/>
  <c r="H31" i="19" s="1"/>
  <c r="F21" i="6"/>
  <c r="H30" i="19" s="1"/>
  <c r="G19" i="5"/>
  <c r="H19" i="5"/>
  <c r="H20" i="5" s="1"/>
  <c r="G32" i="19" s="1"/>
  <c r="I19" i="5"/>
  <c r="I20" i="5" s="1"/>
  <c r="G33" i="19" s="1"/>
  <c r="J19" i="5"/>
  <c r="J20" i="5" s="1"/>
  <c r="G34" i="19" s="1"/>
  <c r="H35" i="19" l="1"/>
  <c r="K19" i="5"/>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H22" i="3" s="1"/>
  <c r="I18" i="3"/>
  <c r="J18" i="3"/>
  <c r="J22" i="3" s="1"/>
  <c r="J19" i="3"/>
  <c r="G18" i="3"/>
  <c r="H19" i="3"/>
  <c r="I19" i="3"/>
  <c r="G22" i="3" l="1"/>
  <c r="F31" i="19" s="1"/>
  <c r="F22" i="3"/>
  <c r="I22" i="3"/>
  <c r="K18" i="3"/>
  <c r="K19" i="3"/>
  <c r="D40" i="19" s="1"/>
  <c r="F30" i="19"/>
  <c r="F33" i="19"/>
  <c r="N33" i="19" s="1"/>
  <c r="I21" i="3"/>
  <c r="F34" i="19"/>
  <c r="N34" i="19" s="1"/>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<sst xmlns="http://schemas.openxmlformats.org/spreadsheetml/2006/main" count="769" uniqueCount="338">
  <si>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</si>
  <si>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</si>
  <si>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</si>
  <si>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</si>
  <si>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</si>
  <si>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</si>
  <si>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</si>
  <si>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</si>
  <si>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</si>
  <si>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</si>
  <si>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</si>
  <si>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</si>
  <si>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</si>
  <si>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</si>
  <si>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</si>
  <si>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</si>
  <si>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</si>
  <si>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</si>
  <si>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</si>
  <si>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</si>
  <si>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</si>
  <si>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</si>
  <si>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</si>
  <si>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</si>
  <si>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</si>
  <si>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</si>
  <si>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</si>
  <si>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</si>
  <si>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</si>
  <si>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</si>
  <si>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</si>
  <si>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</si>
  <si>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</si>
  <si>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</si>
  <si>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</si>
  <si>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</si>
  <si>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</si>
  <si>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</si>
  <si>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</si>
  <si>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</si>
  <si>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</si>
  <si>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</si>
  <si>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</si>
  <si>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</si>
  <si>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</si>
  <si>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</si>
  <si>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</si>
  <si>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</si>
  <si>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</si>
  <si>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</si>
  <si>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</si>
  <si>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</si>
  <si>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</si>
  <si>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</si>
  <si>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</si>
  <si>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</si>
  <si>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</si>
  <si>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</si>
  <si>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</si>
  <si>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</si>
  <si>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</si>
  <si>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</si>
  <si>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</si>
  <si>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</si>
  <si>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</si>
  <si>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</si>
  <si>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</si>
  <si>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</si>
  <si>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</si>
  <si>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</si>
  <si>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</si>
  <si>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</si>
  <si>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</si>
  <si>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</si>
  <si>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</si>
  <si>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</si>
  <si>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</si>
  <si>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</si>
  <si>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</si>
  <si>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</si>
  <si>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</si>
  <si>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</si>
  <si>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</si>
  <si>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</si>
  <si>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</si>
  <si>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</si>
  <si>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</si>
  <si>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</si>
  <si>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</si>
  <si>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</si>
  <si>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</si>
  <si>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</si>
  <si>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</si>
  <si>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</si>
  <si>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</si>
  <si>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</si>
  <si>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</si>
  <si>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</si>
  <si>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</si>
  <si>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</si>
  <si>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</si>
  <si>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</si>
  <si>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</si>
  <si>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</si>
  <si>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</si>
  <si>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</si>
  <si>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</si>
  <si>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</si>
  <si>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</si>
  <si>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</si>
  <si>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</si>
  <si>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</si>
  <si>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</si>
  <si>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</si>
  <si>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</si>
  <si>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</si>
  <si>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</si>
  <si>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</si>
  <si>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</si>
  <si>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</si>
  <si>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</si>
  <si>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</si>
  <si>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</si>
  <si>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</si>
  <si>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</si>
  <si>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</si>
  <si>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</si>
  <si>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</si>
  <si>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</si>
  <si>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</si>
  <si>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</si>
  <si>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</si>
  <si>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</si>
  <si>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</si>
  <si>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</si>
  <si>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</si>
  <si>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</si>
  <si>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</si>
  <si>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</si>
  <si>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</si>
  <si>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</si>
  <si>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</si>
  <si>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</si>
  <si>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</si>
  <si>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</si>
  <si>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</si>
  <si>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</si>
  <si>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</si>
  <si>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</si>
  <si>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</si>
  <si>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</si>
  <si>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</si>
  <si>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</si>
  <si>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</si>
  <si>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</si>
  <si>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</si>
  <si>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</si>
  <si>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</si>
  <si>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</si>
  <si>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</si>
  <si>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</si>
  <si>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</si>
  <si>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</si>
  <si>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</si>
  <si>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</si>
  <si>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</si>
  <si>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</si>
  <si>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</si>
  <si>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</si>
  <si>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</si>
  <si>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</si>
  <si>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</si>
  <si>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</si>
  <si>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</si>
  <si>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</si>
  <si>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</si>
  <si>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</si>
  <si>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</si>
  <si>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</si>
  <si>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</si>
  <si>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</si>
  <si>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</si>
  <si>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</si>
  <si>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</si>
  <si>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</si>
  <si>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</si>
  <si>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</si>
  <si>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</si>
  <si>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</si>
  <si>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</si>
  <si>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</si>
  <si>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</si>
  <si>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</si>
  <si>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</si>
  <si>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</si>
  <si>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</si>
  <si>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</si>
  <si>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</si>
  <si>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</si>
  <si>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</si>
  <si>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</si>
  <si>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</si>
  <si>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</si>
  <si>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</si>
  <si>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</si>
  <si>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</si>
  <si>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</si>
  <si>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</si>
  <si>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</si>
  <si>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</si>
  <si>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</si>
  <si>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</si>
  <si>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</si>
  <si>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</si>
  <si>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</si>
  <si>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</si>
  <si>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</si>
  <si>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</si>
  <si>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</si>
  <si>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</si>
  <si>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</si>
  <si>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</si>
  <si>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</si>
  <si>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</si>
  <si>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</si>
  <si>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</si>
  <si>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</si>
  <si>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</si>
  <si>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</si>
  <si>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</si>
  <si>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</si>
  <si>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</si>
  <si>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</si>
  <si>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</si>
  <si>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</si>
  <si>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</si>
  <si>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</si>
  <si>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</si>
  <si>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</si>
  <si>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</si>
  <si>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</si>
  <si>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</si>
  <si>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</si>
  <si>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</si>
  <si>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</si>
  <si>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</si>
  <si>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</si>
  <si>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</si>
  <si>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</si>
  <si>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</si>
  <si>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</si>
  <si>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</si>
  <si>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</si>
  <si>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</si>
  <si>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</si>
  <si>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</si>
  <si>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</si>
  <si>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</si>
  <si>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</si>
  <si>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</si>
  <si>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</si>
  <si>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</si>
  <si>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</si>
  <si>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</si>
  <si>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</si>
  <si>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</si>
  <si>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</si>
  <si>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</si>
  <si>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</si>
  <si>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</si>
  <si>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</si>
  <si>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</si>
  <si>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</si>
  <si>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</si>
  <si>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</si>
  <si>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</si>
  <si>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</si>
  <si>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</si>
  <si>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</si>
  <si>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</si>
  <si>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</si>
  <si>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</si>
  <si>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</si>
  <si>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</si>
  <si>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</si>
  <si>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</si>
  <si>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</si>
  <si>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</si>
  <si>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</si>
  <si>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</si>
  <si>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</si>
  <si>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</si>
  <si>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</si>
  <si>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</si>
  <si>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</si>
  <si>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</si>
  <si>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</si>
  <si>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</si>
  <si>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</si>
  <si>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</si>
  <si>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</si>
  <si>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</si>
  <si>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</si>
  <si>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</si>
  <si>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</si>
  <si>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</si>
  <si>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</si>
  <si>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</si>
  <si>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</si>
  <si>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</si>
  <si>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</si>
  <si>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</si>
  <si>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</si>
  <si>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</si>
  <si>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</si>
  <si>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</si>
  <si>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</si>
  <si>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</si>
  <si>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</si>
  <si>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</si>
  <si>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</si>
  <si>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</si>
  <si>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420 E. Laurel St.</t>
  </si>
  <si>
    <t>Willows</t>
  </si>
  <si>
    <t>Blair Hendry</t>
  </si>
  <si>
    <t>Administrative Services Analyst</t>
  </si>
  <si>
    <t>bhendry@countyofglenn.net</t>
  </si>
  <si>
    <t>(530) 934-1453</t>
  </si>
  <si>
    <t>MHSA CSS Comprehensive Service Plan</t>
  </si>
  <si>
    <t>Access &amp; Linkage</t>
  </si>
  <si>
    <t>PCIT</t>
  </si>
  <si>
    <t>Strengthening Families</t>
  </si>
  <si>
    <t>Stigma Reduction</t>
  </si>
  <si>
    <t>SMART Program</t>
  </si>
  <si>
    <t>Adjustment to 2015-2016 funds after completing 2016-17 Cost Report and updating 2016-17 RER</t>
  </si>
  <si>
    <t>Adjustment to 2016-17 funds after completing 2016-17 Cost Report and updating 2016-17 RER</t>
  </si>
  <si>
    <t xml:space="preserve">We were unable to report our Regional WET interest in the RER. After talking with Charla Holmes she advised us to notate this in the comment section so DHCS staff could contact us and tell us how we should report it. </t>
  </si>
  <si>
    <t>On the adjustment tab for FFP it doesn’t give MHSA Housing as a component to be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</si>
</sst>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164" fontId="29" fillId="0" borderId="3" xfId="0" applyNumberFormat="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206738" y="1145037"/>
          <a:ext cx="769422" cy="875960"/>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2887" y="292116"/>
          <a:ext cx="1295255" cy="906636"/>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kern="1200"/>
            <a:t>Information</a:t>
          </a:r>
          <a:r>
            <a:rPr lang="en-US" sz="1100" kern="1200"/>
            <a:t> </a:t>
          </a:r>
          <a:r>
            <a:rPr lang="en-US" sz="1200" kern="1200"/>
            <a:t>WorkSheet</a:t>
          </a:r>
        </a:p>
      </dsp:txBody>
      <dsp:txXfrm>
        <a:off x="47153" y="336382"/>
        <a:ext cx="1206723" cy="818104"/>
      </dsp:txXfrm>
    </dsp:sp>
    <dsp:sp modelId="{8541039B-38A0-4921-BC82-61EFB02031B8}">
      <dsp:nvSpPr>
        <dsp:cNvPr id="0" name=""/>
        <dsp:cNvSpPr/>
      </dsp:nvSpPr>
      <dsp:spPr>
        <a:xfrm>
          <a:off x="1298143" y="378584"/>
          <a:ext cx="942045" cy="732783"/>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280642" y="2163489"/>
          <a:ext cx="769422" cy="875960"/>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076792" y="1310568"/>
          <a:ext cx="1295255" cy="906636"/>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kern="1200"/>
            <a:t>Component Summary Worksheet</a:t>
          </a:r>
        </a:p>
      </dsp:txBody>
      <dsp:txXfrm>
        <a:off x="1121058" y="1354834"/>
        <a:ext cx="1206723" cy="818104"/>
      </dsp:txXfrm>
    </dsp:sp>
    <dsp:sp modelId="{D5B161FD-1DC9-4E69-875D-3A4A5FA05D78}">
      <dsp:nvSpPr>
        <dsp:cNvPr id="0" name=""/>
        <dsp:cNvSpPr/>
      </dsp:nvSpPr>
      <dsp:spPr>
        <a:xfrm>
          <a:off x="2372047" y="1397037"/>
          <a:ext cx="942045" cy="732783"/>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372047" y="1397037"/>
        <a:ext cx="942045" cy="732783"/>
      </dsp:txXfrm>
    </dsp:sp>
    <dsp:sp modelId="{762BC45A-B3D7-4C89-BE27-B0FB40064C1B}">
      <dsp:nvSpPr>
        <dsp:cNvPr id="0" name=""/>
        <dsp:cNvSpPr/>
      </dsp:nvSpPr>
      <dsp:spPr>
        <a:xfrm rot="5400000">
          <a:off x="2354546" y="3181941"/>
          <a:ext cx="769422" cy="875960"/>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150696" y="2329020"/>
          <a:ext cx="1295255" cy="906636"/>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kern="1200"/>
            <a:t>Component &amp; Adjustment</a:t>
          </a:r>
          <a:br>
            <a:rPr lang="en-US" sz="1200" kern="1200"/>
          </a:br>
          <a:r>
            <a:rPr lang="en-US" sz="1200" kern="1200"/>
            <a:t>Worksheets</a:t>
          </a:r>
        </a:p>
      </dsp:txBody>
      <dsp:txXfrm>
        <a:off x="2194962" y="2373286"/>
        <a:ext cx="1206723" cy="818104"/>
      </dsp:txXfrm>
    </dsp:sp>
    <dsp:sp modelId="{0013210A-1BD1-4791-8949-6402BC5EDDE9}">
      <dsp:nvSpPr>
        <dsp:cNvPr id="0" name=""/>
        <dsp:cNvSpPr/>
      </dsp:nvSpPr>
      <dsp:spPr>
        <a:xfrm>
          <a:off x="3445951" y="2415489"/>
          <a:ext cx="942045" cy="732783"/>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224600" y="3347472"/>
          <a:ext cx="1295255" cy="906636"/>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kern="1200"/>
            <a:t>Component Summary Worksheet </a:t>
          </a:r>
        </a:p>
      </dsp:txBody>
      <dsp:txXfrm>
        <a:off x="3268866" y="3391738"/>
        <a:ext cx="1206723" cy="818104"/>
      </dsp:txXfrm>
    </dsp:sp>
    <dsp:sp modelId="{508C161B-F096-4451-A84C-8D444A0957CF}">
      <dsp:nvSpPr>
        <dsp:cNvPr id="0" name=""/>
        <dsp:cNvSpPr/>
      </dsp:nvSpPr>
      <dsp:spPr>
        <a:xfrm>
          <a:off x="4519855" y="3433941"/>
          <a:ext cx="942045" cy="732783"/>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80010" tIns="80010" rIns="80010" bIns="80010" numCol="1" spcCol="1270" anchor="ctr" anchorCtr="0">
          <a:noAutofit/>
        </a:bodyPr>
        <a:lstStyle/>
        <a:p>
          <a:pPr marL="171450" lvl="1" indent="-171450" algn="ctr" defTabSz="711200">
            <a:lnSpc>
              <a:spcPct val="90000"/>
            </a:lnSpc>
            <a:spcBef>
              <a:spcPct val="0"/>
            </a:spcBef>
            <a:spcAft>
              <a:spcPct val="15000"/>
            </a:spcAft>
            <a:buChar char="••"/>
          </a:pPr>
          <a:r>
            <a:rPr lang="en-US" sz="1600" kern="1200"/>
            <a:t>Section 3-5</a:t>
          </a:r>
        </a:p>
      </dsp:txBody>
      <dsp:txXfrm>
        <a:off x="4519855" y="3433941"/>
        <a:ext cx="942045" cy="732783"/>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XFD1048576"/>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7" t="s">
        <v>280</v>
      </c>
      <c r="C7" s="425"/>
      <c r="F7" s="224"/>
    </row>
    <row r="8" spans="1:7" ht="55.5" customHeight="1" x14ac:dyDescent="0.2">
      <c r="B8" s="428" t="s">
        <v>281</v>
      </c>
      <c r="C8" s="429"/>
      <c r="F8" s="222"/>
      <c r="G8" s="224"/>
    </row>
    <row r="9" spans="1:7" ht="39.950000000000003" customHeight="1" x14ac:dyDescent="0.2">
      <c r="B9" s="428" t="s">
        <v>279</v>
      </c>
      <c r="C9" s="429"/>
      <c r="E9" s="222"/>
      <c r="F9" s="223"/>
    </row>
    <row r="10" spans="1:7" ht="39.950000000000003" customHeight="1" x14ac:dyDescent="0.2">
      <c r="B10" s="429" t="s">
        <v>264</v>
      </c>
      <c r="C10" s="429"/>
      <c r="D10" s="221"/>
    </row>
    <row r="11" spans="1:7" x14ac:dyDescent="0.2"/>
    <row r="12" spans="1:7" ht="29.25" customHeight="1" x14ac:dyDescent="0.2">
      <c r="B12" s="425" t="s">
        <v>266</v>
      </c>
      <c r="C12" s="426" t="s">
        <v>272</v>
      </c>
    </row>
    <row r="13" spans="1:7" ht="18" customHeight="1" x14ac:dyDescent="0.2">
      <c r="B13" s="425"/>
      <c r="C13" s="425"/>
    </row>
    <row r="14" spans="1:7" ht="60.75" customHeight="1" x14ac:dyDescent="0.2">
      <c r="B14" s="422" t="s">
        <v>267</v>
      </c>
      <c r="C14" s="381" t="s">
        <v>311</v>
      </c>
    </row>
    <row r="15" spans="1:7" ht="68.25" customHeight="1" x14ac:dyDescent="0.2">
      <c r="B15" s="423"/>
      <c r="C15" s="382" t="s">
        <v>321</v>
      </c>
    </row>
    <row r="16" spans="1:7" ht="66" customHeight="1" x14ac:dyDescent="0.2">
      <c r="B16" s="424"/>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18" sqref="D1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43437</v>
      </c>
    </row>
    <row r="8" spans="1:5" ht="34.5" customHeight="1" x14ac:dyDescent="0.2">
      <c r="A8" s="99"/>
      <c r="B8" s="130">
        <v>2</v>
      </c>
      <c r="C8" s="102" t="s">
        <v>1</v>
      </c>
      <c r="D8" s="365" t="s">
        <v>53</v>
      </c>
    </row>
    <row r="9" spans="1:5" ht="34.5" customHeight="1" x14ac:dyDescent="0.2">
      <c r="A9" s="99"/>
      <c r="B9" s="130">
        <v>3</v>
      </c>
      <c r="C9" s="103" t="s">
        <v>125</v>
      </c>
      <c r="D9" s="104">
        <f>IF(ISBLANK(D8),"",VLOOKUP(D8,Info_County_Code,2))</f>
        <v>11</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95988</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324</v>
      </c>
    </row>
    <row r="15" spans="1:5" ht="34.5" customHeight="1" x14ac:dyDescent="0.2">
      <c r="A15" s="99"/>
      <c r="B15" s="130">
        <v>9</v>
      </c>
      <c r="C15" s="383" t="s">
        <v>193</v>
      </c>
      <c r="D15" s="419" t="s">
        <v>325</v>
      </c>
    </row>
    <row r="16" spans="1:5" ht="34.5" customHeight="1" x14ac:dyDescent="0.2">
      <c r="A16" s="99"/>
      <c r="B16" s="130">
        <v>10</v>
      </c>
      <c r="C16" s="383" t="s">
        <v>211</v>
      </c>
      <c r="D16" s="419" t="s">
        <v>326</v>
      </c>
    </row>
    <row r="17" spans="1:4" ht="34.5" customHeight="1" x14ac:dyDescent="0.2">
      <c r="A17" s="99"/>
      <c r="B17" s="130">
        <v>11</v>
      </c>
      <c r="C17" s="102" t="s">
        <v>194</v>
      </c>
      <c r="D17" s="420"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B1:N50"/>
  <sheetViews>
    <sheetView showGridLines="0" tabSelected="1" zoomScale="55" zoomScaleNormal="55" zoomScaleSheetLayoutView="40" workbookViewId="0">
      <pane xSplit="3" ySplit="20" topLeftCell="D21" activePane="bottomRight" state="frozen"/>
      <selection pane="topRight" activeCell="D1" sqref="D1"/>
      <selection pane="bottomLeft" activeCell="A16" sqref="A16"/>
      <selection pane="bottomRight" activeCell="I47" sqref="I47"/>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Glenn</v>
      </c>
      <c r="F7" s="360" t="s">
        <v>2</v>
      </c>
      <c r="G7" s="259">
        <f>IF(ISBLANK('1. Information'!D7),"",'1. Information'!D7)</f>
        <v>43437</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34690.720000000001</v>
      </c>
      <c r="E15" s="260"/>
      <c r="F15" s="260"/>
      <c r="G15" s="90"/>
      <c r="H15" s="260"/>
      <c r="I15" s="260"/>
      <c r="J15" s="260"/>
      <c r="K15" s="260"/>
      <c r="L15" s="260"/>
      <c r="M15" s="260"/>
      <c r="N15" s="260"/>
    </row>
    <row r="16" spans="2:14" x14ac:dyDescent="0.25">
      <c r="B16" s="24">
        <v>2</v>
      </c>
      <c r="C16" s="332" t="s">
        <v>306</v>
      </c>
      <c r="D16" s="394">
        <v>88510</v>
      </c>
      <c r="E16" s="260"/>
      <c r="F16" s="260"/>
      <c r="G16" s="90"/>
      <c r="H16" s="260"/>
      <c r="I16" s="260"/>
      <c r="J16" s="260"/>
      <c r="K16" s="260"/>
      <c r="L16" s="260"/>
      <c r="M16" s="260"/>
      <c r="N16" s="260"/>
    </row>
    <row r="17" spans="2:14" x14ac:dyDescent="0.25">
      <c r="B17" s="24">
        <v>3</v>
      </c>
      <c r="C17" s="332" t="s">
        <v>312</v>
      </c>
      <c r="D17" s="91">
        <f>D16+M22+M27+SUM('9. Adjustment (MHSA)'!F83:F112)</f>
        <v>88510</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v>0</v>
      </c>
      <c r="E22" s="92">
        <v>0</v>
      </c>
      <c r="F22" s="91"/>
      <c r="G22" s="327"/>
      <c r="H22" s="327"/>
      <c r="I22" s="334"/>
      <c r="J22" s="327"/>
      <c r="K22" s="334"/>
      <c r="L22" s="334"/>
      <c r="M22" s="264">
        <f>(-D22-E22)</f>
        <v>0</v>
      </c>
      <c r="N22" s="333">
        <f>SUM(D22:M22)</f>
        <v>0</v>
      </c>
    </row>
    <row r="23" spans="2:14" ht="24" customHeight="1" x14ac:dyDescent="0.25">
      <c r="B23" s="24">
        <v>5</v>
      </c>
      <c r="C23" s="332" t="s">
        <v>277</v>
      </c>
      <c r="D23" s="264">
        <f>D15*0.76</f>
        <v>26364.947200000002</v>
      </c>
      <c r="E23" s="380">
        <f>D15*0.19</f>
        <v>6591.2368000000006</v>
      </c>
      <c r="F23" s="261">
        <f>D15*0.05</f>
        <v>1734.5360000000001</v>
      </c>
      <c r="G23" s="327"/>
      <c r="H23" s="327"/>
      <c r="I23" s="327"/>
      <c r="J23" s="421">
        <v>22243.97</v>
      </c>
      <c r="K23" s="327"/>
      <c r="L23" s="327"/>
      <c r="M23" s="327"/>
      <c r="N23" s="333">
        <f>SUM(D23:M23)</f>
        <v>56934.69</v>
      </c>
    </row>
    <row r="24" spans="2:14" ht="24" customHeight="1" x14ac:dyDescent="0.25">
      <c r="B24" s="24">
        <v>6</v>
      </c>
      <c r="C24" s="266" t="s">
        <v>25</v>
      </c>
      <c r="D24" s="339">
        <f t="shared" ref="D24:L24" si="0">SUM(D22:D23)</f>
        <v>26364.947200000002</v>
      </c>
      <c r="E24" s="339">
        <f t="shared" si="0"/>
        <v>6591.2368000000006</v>
      </c>
      <c r="F24" s="339">
        <f t="shared" si="0"/>
        <v>1734.5360000000001</v>
      </c>
      <c r="G24" s="339">
        <f t="shared" si="0"/>
        <v>0</v>
      </c>
      <c r="H24" s="339">
        <f t="shared" si="0"/>
        <v>0</v>
      </c>
      <c r="I24" s="339">
        <f t="shared" si="0"/>
        <v>0</v>
      </c>
      <c r="J24" s="339">
        <f t="shared" si="0"/>
        <v>22243.97</v>
      </c>
      <c r="K24" s="339">
        <f t="shared" si="0"/>
        <v>0</v>
      </c>
      <c r="L24" s="339">
        <f t="shared" si="0"/>
        <v>0</v>
      </c>
      <c r="M24" s="339">
        <v>0</v>
      </c>
      <c r="N24" s="371">
        <f>SUM(D24:M24)</f>
        <v>56934.69</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2160099</v>
      </c>
      <c r="E30" s="264">
        <f>'4. PEI'!F21</f>
        <v>652348.99</v>
      </c>
      <c r="F30" s="264">
        <f>'5. INN'!F22</f>
        <v>160272.84</v>
      </c>
      <c r="G30" s="264">
        <f>'6. WET'!F20</f>
        <v>0</v>
      </c>
      <c r="H30" s="264">
        <f>'7. CFTN'!F21</f>
        <v>0</v>
      </c>
      <c r="I30" s="334"/>
      <c r="J30" s="264">
        <f>'8. WET RP, HP'!E14</f>
        <v>408152.78</v>
      </c>
      <c r="K30" s="264">
        <f>'4. PEI'!F17</f>
        <v>0</v>
      </c>
      <c r="L30" s="264">
        <f>'8. WET RP, HP'!E15</f>
        <v>127208</v>
      </c>
      <c r="M30" s="334"/>
      <c r="N30" s="264">
        <f t="shared" ref="N30:N35" si="1">SUM(D30:M30)</f>
        <v>3508081.6100000003</v>
      </c>
    </row>
    <row r="31" spans="2:14" ht="24" customHeight="1" x14ac:dyDescent="0.25">
      <c r="B31" s="24">
        <v>9</v>
      </c>
      <c r="C31" s="262" t="s">
        <v>5</v>
      </c>
      <c r="D31" s="261">
        <f>'3. CSS'!G25</f>
        <v>2320919.2899999996</v>
      </c>
      <c r="E31" s="261">
        <f>'4. PEI'!G21</f>
        <v>52431.369999999995</v>
      </c>
      <c r="F31" s="261">
        <f>'5. INN'!G22</f>
        <v>70889.02</v>
      </c>
      <c r="G31" s="261">
        <f>'6. WET'!G20</f>
        <v>0</v>
      </c>
      <c r="H31" s="261">
        <f>'7. CFTN'!G21</f>
        <v>0</v>
      </c>
      <c r="I31" s="7"/>
      <c r="J31" s="261">
        <f>'8. WET RP, HP'!F14</f>
        <v>0</v>
      </c>
      <c r="K31" s="261">
        <f>'4. PEI'!G17</f>
        <v>0</v>
      </c>
      <c r="L31" s="261">
        <f>'8. WET RP, HP'!F15</f>
        <v>17456.25</v>
      </c>
      <c r="M31" s="327"/>
      <c r="N31" s="264">
        <f t="shared" si="1"/>
        <v>2461695.9299999997</v>
      </c>
    </row>
    <row r="32" spans="2:14" ht="24" customHeight="1" x14ac:dyDescent="0.25">
      <c r="B32" s="24">
        <v>10</v>
      </c>
      <c r="C32" s="262" t="s">
        <v>6</v>
      </c>
      <c r="D32" s="261">
        <f>'3. CSS'!H25</f>
        <v>183745</v>
      </c>
      <c r="E32" s="261">
        <f>'4. PEI'!H21</f>
        <v>0</v>
      </c>
      <c r="F32" s="261">
        <f>'5. INN'!H22</f>
        <v>0</v>
      </c>
      <c r="G32" s="261">
        <f>'6. WET'!H20</f>
        <v>0</v>
      </c>
      <c r="H32" s="261">
        <f>'7. CFTN'!H21</f>
        <v>0</v>
      </c>
      <c r="I32" s="7"/>
      <c r="J32" s="261">
        <f>'8. WET RP, HP'!G14</f>
        <v>0</v>
      </c>
      <c r="K32" s="261">
        <f>'4. PEI'!H17</f>
        <v>0</v>
      </c>
      <c r="L32" s="261">
        <f>'8. WET RP, HP'!G15</f>
        <v>0</v>
      </c>
      <c r="M32" s="327"/>
      <c r="N32" s="264">
        <f t="shared" si="1"/>
        <v>183745</v>
      </c>
    </row>
    <row r="33" spans="2:14" ht="24" customHeight="1" x14ac:dyDescent="0.25">
      <c r="B33" s="24">
        <v>11</v>
      </c>
      <c r="C33" s="262" t="s">
        <v>31</v>
      </c>
      <c r="D33" s="261">
        <f>'3. CSS'!I25</f>
        <v>614861.48</v>
      </c>
      <c r="E33" s="261">
        <f>'4. PEI'!I21</f>
        <v>35544.080000000002</v>
      </c>
      <c r="F33" s="261">
        <f>'5. INN'!I22</f>
        <v>50173.84</v>
      </c>
      <c r="G33" s="261">
        <f>'6. WET'!I20</f>
        <v>0</v>
      </c>
      <c r="H33" s="261">
        <f>'7. CFTN'!I21</f>
        <v>0</v>
      </c>
      <c r="I33" s="7"/>
      <c r="J33" s="261">
        <f>'8. WET RP, HP'!H14</f>
        <v>0</v>
      </c>
      <c r="K33" s="261">
        <f>'4. PEI'!I17</f>
        <v>0</v>
      </c>
      <c r="L33" s="261">
        <f>'8. WET RP, HP'!H15</f>
        <v>0</v>
      </c>
      <c r="M33" s="327"/>
      <c r="N33" s="264">
        <f t="shared" si="1"/>
        <v>700579.39999999991</v>
      </c>
    </row>
    <row r="34" spans="2:14" ht="24" customHeight="1" x14ac:dyDescent="0.25">
      <c r="B34" s="24">
        <v>12</v>
      </c>
      <c r="C34" s="262" t="s">
        <v>15</v>
      </c>
      <c r="D34" s="261">
        <f>'3. CSS'!J25</f>
        <v>275490.46999999997</v>
      </c>
      <c r="E34" s="261">
        <f>'4. PEI'!J21</f>
        <v>1699.58</v>
      </c>
      <c r="F34" s="261">
        <f>'5. INN'!J22</f>
        <v>4006.17</v>
      </c>
      <c r="G34" s="261">
        <f>'6. WET'!J20</f>
        <v>0</v>
      </c>
      <c r="H34" s="261">
        <f>'7. CFTN'!J21</f>
        <v>0</v>
      </c>
      <c r="I34" s="7"/>
      <c r="J34" s="261">
        <f>'8. WET RP, HP'!I14</f>
        <v>0</v>
      </c>
      <c r="K34" s="261">
        <f>'4. PEI'!J17</f>
        <v>0</v>
      </c>
      <c r="L34" s="261">
        <f>'8. WET RP, HP'!I15</f>
        <v>0</v>
      </c>
      <c r="M34" s="327"/>
      <c r="N34" s="264">
        <f t="shared" si="1"/>
        <v>281196.21999999997</v>
      </c>
    </row>
    <row r="35" spans="2:14" ht="24" customHeight="1" x14ac:dyDescent="0.25">
      <c r="B35" s="24">
        <v>13</v>
      </c>
      <c r="C35" s="266" t="s">
        <v>25</v>
      </c>
      <c r="D35" s="267">
        <f>SUM(D30:D34)</f>
        <v>5555115.2399999993</v>
      </c>
      <c r="E35" s="267">
        <f t="shared" ref="E35:L35" si="2">SUM(E30:E34)</f>
        <v>742024.0199999999</v>
      </c>
      <c r="F35" s="267">
        <f t="shared" si="2"/>
        <v>285341.86999999994</v>
      </c>
      <c r="G35" s="267">
        <f t="shared" si="2"/>
        <v>0</v>
      </c>
      <c r="H35" s="267">
        <f t="shared" si="2"/>
        <v>0</v>
      </c>
      <c r="I35" s="267">
        <f t="shared" si="2"/>
        <v>0</v>
      </c>
      <c r="J35" s="267">
        <f t="shared" si="2"/>
        <v>408152.78</v>
      </c>
      <c r="K35" s="267">
        <f t="shared" si="2"/>
        <v>0</v>
      </c>
      <c r="L35" s="267">
        <f t="shared" si="2"/>
        <v>144664.25</v>
      </c>
      <c r="M35" s="7"/>
      <c r="N35" s="339">
        <f t="shared" si="1"/>
        <v>7135298.1599999992</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888495.22</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9zFeYTkz/rmbk5EwSNAiI9r0d4iJq7Y9tUHBLnRubATjaCWQDTrVYP664LSNGCUDDwCTbwq6Cql/9ExItlppNQ==" saltValue="vjgdUi+B7ANJuxQFj3Ck9g=="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40"/>
  <sheetViews>
    <sheetView showGridLines="0" zoomScale="70" zoomScaleNormal="70" zoomScaleSheetLayoutView="40" zoomScalePageLayoutView="70" workbookViewId="0">
      <selection sqref="A1:L42"/>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5"/>
      <c r="C1" s="445"/>
      <c r="D1" s="445"/>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6" t="s">
        <v>1</v>
      </c>
      <c r="C7" s="446"/>
      <c r="D7" s="9" t="str">
        <f>IF(ISBLANK('1. Information'!D8),"",'1. Information'!D8)</f>
        <v>Glenn</v>
      </c>
      <c r="E7" s="281"/>
      <c r="F7" s="279" t="s">
        <v>2</v>
      </c>
      <c r="G7" s="282">
        <f>IF(ISBLANK('1. Information'!D7),"",'1. Information'!D7)</f>
        <v>43437</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8" t="s">
        <v>30</v>
      </c>
      <c r="H12" s="436"/>
      <c r="I12" s="436"/>
      <c r="J12" s="439"/>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43" t="s">
        <v>7</v>
      </c>
      <c r="D14" s="443"/>
      <c r="E14" s="443"/>
      <c r="F14" s="367"/>
      <c r="G14" s="368"/>
      <c r="H14" s="353"/>
      <c r="I14" s="290"/>
      <c r="J14" s="290"/>
      <c r="K14" s="292">
        <f>SUM(F14:J14)</f>
        <v>0</v>
      </c>
      <c r="L14"/>
    </row>
    <row r="15" spans="1:12" ht="15" customHeight="1" x14ac:dyDescent="0.25">
      <c r="A15" s="281"/>
      <c r="B15" s="277">
        <v>2</v>
      </c>
      <c r="C15" s="443" t="s">
        <v>8</v>
      </c>
      <c r="D15" s="443"/>
      <c r="E15" s="443"/>
      <c r="F15" s="367"/>
      <c r="G15" s="290"/>
      <c r="H15" s="290"/>
      <c r="I15" s="290"/>
      <c r="J15" s="290"/>
      <c r="K15" s="292">
        <f>SUM(F15:J15)</f>
        <v>0</v>
      </c>
      <c r="L15"/>
    </row>
    <row r="16" spans="1:12" x14ac:dyDescent="0.25">
      <c r="A16" s="281"/>
      <c r="B16" s="277">
        <v>3</v>
      </c>
      <c r="C16" s="443" t="s">
        <v>129</v>
      </c>
      <c r="D16" s="443"/>
      <c r="E16" s="443"/>
      <c r="F16" s="367">
        <v>601096.65</v>
      </c>
      <c r="G16" s="290">
        <v>197778.78</v>
      </c>
      <c r="H16" s="290">
        <v>23916</v>
      </c>
      <c r="I16" s="290"/>
      <c r="J16" s="290">
        <v>920.82</v>
      </c>
      <c r="K16" s="292">
        <f t="shared" ref="K16:K23" si="0">SUM(F16:J16)</f>
        <v>823712.25</v>
      </c>
      <c r="L16"/>
    </row>
    <row r="17" spans="1:12" x14ac:dyDescent="0.25">
      <c r="A17" s="281"/>
      <c r="B17" s="277">
        <v>4</v>
      </c>
      <c r="C17" s="444" t="s">
        <v>218</v>
      </c>
      <c r="D17" s="444"/>
      <c r="E17" s="444"/>
      <c r="F17" s="367"/>
      <c r="G17" s="290"/>
      <c r="H17" s="290"/>
      <c r="I17" s="290"/>
      <c r="J17" s="290"/>
      <c r="K17" s="292">
        <f t="shared" si="0"/>
        <v>0</v>
      </c>
      <c r="L17"/>
    </row>
    <row r="18" spans="1:12" x14ac:dyDescent="0.25">
      <c r="A18" s="281"/>
      <c r="B18" s="277">
        <v>5</v>
      </c>
      <c r="C18" s="444" t="s">
        <v>219</v>
      </c>
      <c r="D18" s="444"/>
      <c r="E18" s="444"/>
      <c r="F18" s="367"/>
      <c r="G18" s="294"/>
      <c r="H18" s="294"/>
      <c r="I18" s="294"/>
      <c r="J18" s="294"/>
      <c r="K18" s="292">
        <f t="shared" si="0"/>
        <v>0</v>
      </c>
      <c r="L18"/>
    </row>
    <row r="19" spans="1:12" x14ac:dyDescent="0.25">
      <c r="A19" s="281"/>
      <c r="B19" s="277">
        <v>6</v>
      </c>
      <c r="C19" s="443" t="s">
        <v>216</v>
      </c>
      <c r="D19" s="443"/>
      <c r="E19" s="443"/>
      <c r="F19" s="290"/>
      <c r="G19" s="294"/>
      <c r="H19" s="294"/>
      <c r="I19" s="294"/>
      <c r="J19" s="294"/>
      <c r="K19" s="293">
        <f t="shared" si="0"/>
        <v>0</v>
      </c>
      <c r="L19"/>
    </row>
    <row r="20" spans="1:12" x14ac:dyDescent="0.25">
      <c r="A20" s="283"/>
      <c r="B20" s="256">
        <v>7</v>
      </c>
      <c r="C20" s="440" t="s">
        <v>226</v>
      </c>
      <c r="D20" s="441"/>
      <c r="E20" s="442"/>
      <c r="F20" s="290"/>
      <c r="G20" s="293"/>
      <c r="H20" s="293"/>
      <c r="I20" s="293"/>
      <c r="J20" s="293"/>
      <c r="K20" s="293">
        <f t="shared" si="0"/>
        <v>0</v>
      </c>
      <c r="L20"/>
    </row>
    <row r="21" spans="1:12" x14ac:dyDescent="0.25">
      <c r="A21" s="283"/>
      <c r="B21" s="256">
        <v>8</v>
      </c>
      <c r="C21" s="440" t="s">
        <v>227</v>
      </c>
      <c r="D21" s="441"/>
      <c r="E21" s="442"/>
      <c r="F21" s="290"/>
      <c r="G21" s="293"/>
      <c r="H21" s="293"/>
      <c r="I21" s="293"/>
      <c r="J21" s="293"/>
      <c r="K21" s="293">
        <f t="shared" si="0"/>
        <v>0</v>
      </c>
      <c r="L21"/>
    </row>
    <row r="22" spans="1:12" x14ac:dyDescent="0.25">
      <c r="A22" s="283"/>
      <c r="B22" s="256">
        <v>9</v>
      </c>
      <c r="C22" s="440" t="s">
        <v>225</v>
      </c>
      <c r="D22" s="441"/>
      <c r="E22" s="442"/>
      <c r="F22" s="290"/>
      <c r="G22" s="293"/>
      <c r="H22" s="293"/>
      <c r="I22" s="293"/>
      <c r="J22" s="293"/>
      <c r="K22" s="293">
        <f t="shared" si="0"/>
        <v>0</v>
      </c>
      <c r="L22"/>
    </row>
    <row r="23" spans="1:12" x14ac:dyDescent="0.25">
      <c r="A23" s="281"/>
      <c r="B23" s="277">
        <v>10</v>
      </c>
      <c r="C23" s="443" t="s">
        <v>140</v>
      </c>
      <c r="D23" s="443"/>
      <c r="E23" s="443"/>
      <c r="F23" s="294">
        <f>SUM(G33:G132)</f>
        <v>1559002.3499999999</v>
      </c>
      <c r="G23" s="293">
        <f>SUM(H33:H132)</f>
        <v>2123140.5099999998</v>
      </c>
      <c r="H23" s="293">
        <f>SUM(I33:I132)</f>
        <v>159829</v>
      </c>
      <c r="I23" s="293">
        <f>SUM(J33:J132)</f>
        <v>614861.48</v>
      </c>
      <c r="J23" s="293">
        <f>SUM(K33:K132)</f>
        <v>274569.64999999997</v>
      </c>
      <c r="K23" s="293">
        <f t="shared" si="0"/>
        <v>4731402.99</v>
      </c>
      <c r="L23"/>
    </row>
    <row r="24" spans="1:12" ht="30.95" customHeight="1" x14ac:dyDescent="0.25">
      <c r="A24" s="281"/>
      <c r="B24" s="277">
        <v>11</v>
      </c>
      <c r="C24" s="430" t="s">
        <v>223</v>
      </c>
      <c r="D24" s="431"/>
      <c r="E24" s="432"/>
      <c r="F24" s="7">
        <f>SUM(F14:F16,F18:F23)</f>
        <v>2160099</v>
      </c>
      <c r="G24" s="7">
        <f>SUM(G14:G16,G18:G23)</f>
        <v>2320919.2899999996</v>
      </c>
      <c r="H24" s="43">
        <f t="shared" ref="H24:J24" si="1">SUM(H14:H16,H18:H23)</f>
        <v>183745</v>
      </c>
      <c r="I24" s="7">
        <f t="shared" si="1"/>
        <v>614861.48</v>
      </c>
      <c r="J24" s="7">
        <f t="shared" si="1"/>
        <v>275490.46999999997</v>
      </c>
      <c r="K24" s="7">
        <f>SUM(K14:K16,K18:K23)</f>
        <v>5555115.2400000002</v>
      </c>
      <c r="L24"/>
    </row>
    <row r="25" spans="1:12" s="325" customFormat="1" ht="30.95" customHeight="1" x14ac:dyDescent="0.25">
      <c r="A25" s="281"/>
      <c r="B25" s="277">
        <v>12</v>
      </c>
      <c r="C25" s="437" t="s">
        <v>283</v>
      </c>
      <c r="D25" s="437"/>
      <c r="E25" s="437"/>
      <c r="F25" s="7">
        <f>SUM(F14:F16,F18,F23)</f>
        <v>2160099</v>
      </c>
      <c r="G25" s="299">
        <f t="shared" ref="G25:J25" si="2">SUM(G14:G16,G18,G23)</f>
        <v>2320919.2899999996</v>
      </c>
      <c r="H25" s="299">
        <f t="shared" si="2"/>
        <v>183745</v>
      </c>
      <c r="I25" s="299">
        <f t="shared" si="2"/>
        <v>614861.48</v>
      </c>
      <c r="J25" s="7">
        <f t="shared" si="2"/>
        <v>275490.46999999997</v>
      </c>
      <c r="K25" s="7">
        <f>SUM(K14:K16,K18,K23)</f>
        <v>5555115.2400000002</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6" t="s">
        <v>166</v>
      </c>
      <c r="E31" s="436"/>
      <c r="F31" s="436"/>
      <c r="G31" s="344" t="s">
        <v>28</v>
      </c>
      <c r="H31" s="433" t="s">
        <v>30</v>
      </c>
      <c r="I31" s="434"/>
      <c r="J31" s="434"/>
      <c r="K31" s="435"/>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11</v>
      </c>
      <c r="D33" s="395" t="s">
        <v>328</v>
      </c>
      <c r="E33" s="395"/>
      <c r="F33" s="297" t="s">
        <v>102</v>
      </c>
      <c r="G33" s="291">
        <v>325780.71999999997</v>
      </c>
      <c r="H33" s="291">
        <v>420177.6</v>
      </c>
      <c r="I33" s="291">
        <v>31454.35</v>
      </c>
      <c r="J33" s="318">
        <v>124127.28</v>
      </c>
      <c r="K33" s="291">
        <f>28342.35+1693.07+5602.6+4557.69+13623.36</f>
        <v>53819.07</v>
      </c>
      <c r="L33" s="293">
        <f>SUM(G33:K33)</f>
        <v>955359.0199999999</v>
      </c>
    </row>
    <row r="34" spans="1:12" s="359" customFormat="1" x14ac:dyDescent="0.25">
      <c r="A34" s="281"/>
      <c r="B34" s="295">
        <v>2</v>
      </c>
      <c r="C34" s="296">
        <f t="shared" si="3"/>
        <v>11</v>
      </c>
      <c r="D34" s="395" t="s">
        <v>328</v>
      </c>
      <c r="E34" s="395"/>
      <c r="F34" s="297" t="s">
        <v>103</v>
      </c>
      <c r="G34" s="291">
        <v>1233221.6299999999</v>
      </c>
      <c r="H34" s="291">
        <v>1702962.91</v>
      </c>
      <c r="I34" s="291">
        <v>128374.65</v>
      </c>
      <c r="J34" s="318">
        <v>490734.2</v>
      </c>
      <c r="K34" s="291">
        <f>115673.65+6909.93+23964.67+18601.31+55601.02</f>
        <v>220750.58</v>
      </c>
      <c r="L34" s="293">
        <f t="shared" ref="L34:L97" si="4">SUM(G34:K34)</f>
        <v>3776043.97</v>
      </c>
    </row>
    <row r="35" spans="1:12" s="359" customFormat="1" x14ac:dyDescent="0.25">
      <c r="A35" s="281"/>
      <c r="B35" s="295">
        <v>3</v>
      </c>
      <c r="C35" s="296" t="str">
        <f t="shared" si="3"/>
        <v/>
      </c>
      <c r="D35" s="395"/>
      <c r="E35" s="395"/>
      <c r="F35" s="297"/>
      <c r="G35" s="291"/>
      <c r="H35" s="291"/>
      <c r="I35" s="291"/>
      <c r="J35" s="318"/>
      <c r="K35" s="291"/>
      <c r="L35" s="293">
        <f t="shared" si="4"/>
        <v>0</v>
      </c>
    </row>
    <row r="36" spans="1:12" s="359" customFormat="1" x14ac:dyDescent="0.25">
      <c r="A36" s="281"/>
      <c r="B36" s="295">
        <v>4</v>
      </c>
      <c r="C36" s="296" t="str">
        <f t="shared" si="3"/>
        <v/>
      </c>
      <c r="D36" s="395"/>
      <c r="E36" s="395"/>
      <c r="F36" s="297"/>
      <c r="G36" s="291"/>
      <c r="H36" s="291"/>
      <c r="I36" s="291"/>
      <c r="J36" s="318"/>
      <c r="K36" s="291"/>
      <c r="L36" s="293">
        <f t="shared" si="4"/>
        <v>0</v>
      </c>
    </row>
    <row r="37" spans="1:12" s="359" customFormat="1" x14ac:dyDescent="0.25">
      <c r="A37" s="281"/>
      <c r="B37" s="295">
        <v>5</v>
      </c>
      <c r="C37" s="296" t="str">
        <f t="shared" si="3"/>
        <v/>
      </c>
      <c r="D37" s="395"/>
      <c r="E37" s="395"/>
      <c r="F37" s="297"/>
      <c r="G37" s="291"/>
      <c r="H37" s="291"/>
      <c r="I37" s="291"/>
      <c r="J37" s="318"/>
      <c r="K37" s="291"/>
      <c r="L37" s="293">
        <f t="shared" si="4"/>
        <v>0</v>
      </c>
    </row>
    <row r="38" spans="1:12" s="359" customFormat="1" x14ac:dyDescent="0.25">
      <c r="A38" s="281"/>
      <c r="B38" s="295">
        <v>6</v>
      </c>
      <c r="C38" s="296" t="str">
        <f t="shared" si="3"/>
        <v/>
      </c>
      <c r="D38" s="395"/>
      <c r="E38" s="395"/>
      <c r="F38" s="297"/>
      <c r="G38" s="291"/>
      <c r="H38" s="291"/>
      <c r="I38" s="291"/>
      <c r="J38" s="318"/>
      <c r="K38" s="291"/>
      <c r="L38" s="293">
        <f t="shared" si="4"/>
        <v>0</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scale="4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50"/>
  <sheetViews>
    <sheetView showGridLines="0" zoomScale="55" zoomScaleNormal="55" zoomScaleSheetLayoutView="40" zoomScalePageLayoutView="80" workbookViewId="0">
      <selection sqref="A1:Q51"/>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8" t="s">
        <v>1</v>
      </c>
      <c r="C7" s="439"/>
      <c r="D7" s="9" t="str">
        <f>IF(ISBLANK('1. Information'!D8),"",'1. Information'!D8)</f>
        <v>Glenn</v>
      </c>
      <c r="F7" s="94" t="s">
        <v>2</v>
      </c>
      <c r="G7" s="109">
        <f>IF(ISBLANK('1. Information'!D7),"",'1. Information'!D7)</f>
        <v>43437</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8" t="s">
        <v>30</v>
      </c>
      <c r="H12" s="436"/>
      <c r="I12" s="436"/>
      <c r="J12" s="439"/>
      <c r="K12" s="303"/>
      <c r="L12"/>
      <c r="M12"/>
      <c r="N12"/>
      <c r="O12"/>
      <c r="P12"/>
      <c r="Q12"/>
      <c r="AL12" s="108"/>
      <c r="AM12" s="108"/>
      <c r="AN12" s="108"/>
    </row>
    <row r="13" spans="2:40" ht="47.25" customHeight="1" x14ac:dyDescent="0.25">
      <c r="C13" s="450"/>
      <c r="D13" s="450"/>
      <c r="E13" s="450"/>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4" t="s">
        <v>3</v>
      </c>
      <c r="D14" s="444"/>
      <c r="E14" s="440"/>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4" t="s">
        <v>133</v>
      </c>
      <c r="D15" s="444"/>
      <c r="E15" s="440"/>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1" t="s">
        <v>149</v>
      </c>
      <c r="D16" s="451"/>
      <c r="E16" s="452"/>
      <c r="F16" s="388">
        <v>14564.23</v>
      </c>
      <c r="G16" s="387">
        <v>6595.49</v>
      </c>
      <c r="H16" s="387"/>
      <c r="I16" s="387"/>
      <c r="J16" s="387">
        <v>22.31</v>
      </c>
      <c r="K16" s="292">
        <f t="shared" si="0"/>
        <v>21182.030000000002</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4" t="s">
        <v>228</v>
      </c>
      <c r="D17" s="444"/>
      <c r="E17" s="440"/>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4" t="s">
        <v>215</v>
      </c>
      <c r="D18" s="444"/>
      <c r="E18" s="440"/>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4" t="s">
        <v>217</v>
      </c>
      <c r="D19" s="444"/>
      <c r="E19" s="440"/>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3" t="s">
        <v>150</v>
      </c>
      <c r="D20" s="443"/>
      <c r="E20" s="443"/>
      <c r="F20" s="315">
        <f>SUMIF($G$36:$G$135,"Combined Summary",L$36:L$135) + SUMIF($F$36:$F$135,"Standalone",L$36:L$135)</f>
        <v>637784.76</v>
      </c>
      <c r="G20" s="119">
        <f>SUMIF($G$36:$G$135,"Combined Summary",M$36:M$135) + SUMIF($F$36:$F$135,"Standalone",M$36:M$135)</f>
        <v>45835.88</v>
      </c>
      <c r="H20" s="119">
        <f>SUMIF($G$36:$G$135,"Combined Summary",N$36:N$135) + SUMIF($F$36:$F$135,"Standalone",N$36:N$135)</f>
        <v>0</v>
      </c>
      <c r="I20" s="119">
        <f>SUMIF($G$36:$G$135,"Combined Summary",O$36:O$135) + SUMIF($F$36:$F$135,"Standalone",O$36:O$135)</f>
        <v>35544.080000000002</v>
      </c>
      <c r="J20" s="119">
        <f>SUMIF($G$36:$G$135,"Combined Summary",P$36:P$135) + SUMIF($F$36:$F$135,"Standalone",P$36:P$135)</f>
        <v>1677.27</v>
      </c>
      <c r="K20" s="293">
        <f t="shared" si="0"/>
        <v>720841.99</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6" t="s">
        <v>229</v>
      </c>
      <c r="D21" s="456"/>
      <c r="E21" s="456"/>
      <c r="F21" s="8">
        <f>SUM(F14:F16,F19:F20)</f>
        <v>652348.99</v>
      </c>
      <c r="G21" s="8">
        <f t="shared" ref="G21:K21" si="1">SUM(G14:G16,G19:G20)</f>
        <v>52431.369999999995</v>
      </c>
      <c r="H21" s="8">
        <f t="shared" si="1"/>
        <v>0</v>
      </c>
      <c r="I21" s="8">
        <f t="shared" si="1"/>
        <v>35544.080000000002</v>
      </c>
      <c r="J21" s="8">
        <f t="shared" si="1"/>
        <v>1699.58</v>
      </c>
      <c r="K21" s="8">
        <f t="shared" si="1"/>
        <v>742024.02</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5" t="s">
        <v>234</v>
      </c>
      <c r="G26" s="453" t="s">
        <v>233</v>
      </c>
      <c r="H26" s="110"/>
      <c r="I26" s="110"/>
      <c r="J26" s="110"/>
      <c r="K26" s="110"/>
      <c r="L26" s="110"/>
      <c r="M26" s="110"/>
      <c r="N26" s="110"/>
      <c r="O26" s="110"/>
      <c r="P26" s="110"/>
      <c r="Q26" s="110"/>
    </row>
    <row r="27" spans="2:40" ht="15" customHeight="1" x14ac:dyDescent="0.25">
      <c r="B27" s="99"/>
      <c r="C27" s="99"/>
      <c r="D27" s="99"/>
      <c r="E27" s="99"/>
      <c r="F27" s="455"/>
      <c r="G27" s="453"/>
      <c r="H27" s="110"/>
      <c r="I27" s="110"/>
      <c r="J27" s="110"/>
      <c r="K27" s="110"/>
      <c r="L27" s="110"/>
      <c r="M27" s="110"/>
      <c r="N27" s="110"/>
      <c r="O27" s="110"/>
      <c r="P27" s="110"/>
      <c r="Q27" s="110"/>
    </row>
    <row r="28" spans="2:40" x14ac:dyDescent="0.25">
      <c r="B28" s="99"/>
      <c r="C28" s="99"/>
      <c r="D28" s="99"/>
      <c r="E28" s="99"/>
      <c r="F28" s="455"/>
      <c r="G28" s="454"/>
      <c r="H28" s="110"/>
      <c r="I28" s="110"/>
      <c r="J28" s="110"/>
      <c r="K28" s="110"/>
      <c r="L28" s="110"/>
      <c r="M28" s="110"/>
      <c r="N28" s="110"/>
      <c r="O28" s="110"/>
      <c r="P28" s="110"/>
      <c r="Q28" s="110"/>
    </row>
    <row r="29" spans="2:40" ht="51.75" customHeight="1" x14ac:dyDescent="0.25">
      <c r="B29" s="130">
        <v>1</v>
      </c>
      <c r="C29" s="447" t="s">
        <v>245</v>
      </c>
      <c r="D29" s="448"/>
      <c r="E29" s="449"/>
      <c r="F29" s="10">
        <f>IF(F21=0,"",((SUMPRODUCT($K$36:$K$135,$L$36:$L$135)+(F19*G29))/$F$21))</f>
        <v>0.63227326848471099</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6" t="s">
        <v>165</v>
      </c>
      <c r="E34" s="436"/>
      <c r="F34" s="436"/>
      <c r="G34" s="436"/>
      <c r="H34" s="436"/>
      <c r="I34" s="436"/>
      <c r="J34" s="436"/>
      <c r="K34" s="436"/>
      <c r="L34" s="340" t="s">
        <v>28</v>
      </c>
      <c r="M34" s="438" t="s">
        <v>30</v>
      </c>
      <c r="N34" s="436"/>
      <c r="O34" s="436"/>
      <c r="P34" s="439"/>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11</v>
      </c>
      <c r="D36" s="395" t="s">
        <v>329</v>
      </c>
      <c r="E36" s="395"/>
      <c r="F36" s="416" t="s">
        <v>143</v>
      </c>
      <c r="G36" s="417" t="s">
        <v>132</v>
      </c>
      <c r="H36" s="125"/>
      <c r="I36" s="134">
        <v>1</v>
      </c>
      <c r="J36" s="134">
        <v>0.34</v>
      </c>
      <c r="K36" s="350">
        <f>IF(OR(G36="Combined Summary",F36="Standalone"),(SUMPRODUCT(--(D$36:D$135=D36),I$36:I$135,J$36:J$135)),"")</f>
        <v>0.34</v>
      </c>
      <c r="L36" s="291">
        <v>141878.64000000001</v>
      </c>
      <c r="M36" s="352"/>
      <c r="N36" s="116"/>
      <c r="O36" s="116"/>
      <c r="P36" s="116">
        <v>373.12</v>
      </c>
      <c r="Q36" s="351">
        <f>SUM(L36:P36)</f>
        <v>142251.76</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11</v>
      </c>
      <c r="D37" s="395" t="s">
        <v>330</v>
      </c>
      <c r="E37" s="395"/>
      <c r="F37" s="416" t="s">
        <v>143</v>
      </c>
      <c r="G37" s="417" t="s">
        <v>137</v>
      </c>
      <c r="H37" s="125"/>
      <c r="I37" s="134">
        <v>1</v>
      </c>
      <c r="J37" s="134">
        <v>1</v>
      </c>
      <c r="K37" s="350">
        <f t="shared" ref="K37:K100" si="3">IF(OR(G37="Combined Summary",F37="Standalone"),(SUMPRODUCT(--(D$36:D$135=D37),I$36:I$135,J$36:J$135)),"")</f>
        <v>1</v>
      </c>
      <c r="L37" s="291">
        <v>24989.69</v>
      </c>
      <c r="M37" s="352">
        <v>45835.88</v>
      </c>
      <c r="N37" s="116"/>
      <c r="O37" s="116">
        <v>35544.080000000002</v>
      </c>
      <c r="P37" s="116">
        <v>65.72</v>
      </c>
      <c r="Q37" s="351">
        <f t="shared" ref="Q37:Q100" si="4">SUM(L37:P37)</f>
        <v>106435.37</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11</v>
      </c>
      <c r="D38" s="395" t="s">
        <v>147</v>
      </c>
      <c r="E38" s="395"/>
      <c r="F38" s="416" t="s">
        <v>143</v>
      </c>
      <c r="G38" s="417" t="s">
        <v>147</v>
      </c>
      <c r="H38" s="125"/>
      <c r="I38" s="134">
        <v>1</v>
      </c>
      <c r="J38" s="134">
        <v>0.7</v>
      </c>
      <c r="K38" s="350">
        <f t="shared" si="3"/>
        <v>0.7</v>
      </c>
      <c r="L38" s="291">
        <v>304726.07</v>
      </c>
      <c r="M38" s="352"/>
      <c r="N38" s="116"/>
      <c r="O38" s="116"/>
      <c r="P38" s="116">
        <v>801.38</v>
      </c>
      <c r="Q38" s="351">
        <f t="shared" si="4"/>
        <v>305527.45</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11</v>
      </c>
      <c r="D39" s="395" t="s">
        <v>331</v>
      </c>
      <c r="E39" s="395"/>
      <c r="F39" s="416" t="s">
        <v>143</v>
      </c>
      <c r="G39" s="417" t="s">
        <v>136</v>
      </c>
      <c r="H39" s="125"/>
      <c r="I39" s="134">
        <v>1</v>
      </c>
      <c r="J39" s="134">
        <v>1</v>
      </c>
      <c r="K39" s="350">
        <f t="shared" si="3"/>
        <v>1</v>
      </c>
      <c r="L39" s="291">
        <v>13158.19</v>
      </c>
      <c r="M39" s="352"/>
      <c r="N39" s="116"/>
      <c r="O39" s="116"/>
      <c r="P39" s="116">
        <v>34.6</v>
      </c>
      <c r="Q39" s="351">
        <f t="shared" si="4"/>
        <v>13192.79</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11</v>
      </c>
      <c r="D40" s="395" t="s">
        <v>332</v>
      </c>
      <c r="E40" s="395"/>
      <c r="F40" s="416" t="s">
        <v>143</v>
      </c>
      <c r="G40" s="107" t="s">
        <v>136</v>
      </c>
      <c r="H40" s="125"/>
      <c r="I40" s="134">
        <v>1</v>
      </c>
      <c r="J40" s="134">
        <v>0.63</v>
      </c>
      <c r="K40" s="350">
        <f t="shared" si="3"/>
        <v>0.63</v>
      </c>
      <c r="L40" s="291">
        <v>16718.05</v>
      </c>
      <c r="M40" s="352"/>
      <c r="N40" s="116"/>
      <c r="O40" s="116"/>
      <c r="P40" s="116">
        <v>43.97</v>
      </c>
      <c r="Q40" s="351">
        <f t="shared" si="4"/>
        <v>16762.02</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11</v>
      </c>
      <c r="D41" s="395" t="s">
        <v>145</v>
      </c>
      <c r="E41" s="395"/>
      <c r="F41" s="416" t="s">
        <v>143</v>
      </c>
      <c r="G41" s="107" t="s">
        <v>145</v>
      </c>
      <c r="H41" s="125"/>
      <c r="I41" s="134">
        <v>1</v>
      </c>
      <c r="J41" s="134">
        <v>0.75</v>
      </c>
      <c r="K41" s="350">
        <f t="shared" si="3"/>
        <v>0.75</v>
      </c>
      <c r="L41" s="291">
        <v>136314.12</v>
      </c>
      <c r="M41" s="352"/>
      <c r="N41" s="116"/>
      <c r="O41" s="116"/>
      <c r="P41" s="116">
        <v>358.48</v>
      </c>
      <c r="Q41" s="351">
        <f t="shared" si="4"/>
        <v>136672.6</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t="str">
        <f t="shared" si="2"/>
        <v/>
      </c>
      <c r="D42" s="395"/>
      <c r="E42" s="395"/>
      <c r="F42" s="125"/>
      <c r="G42" s="107"/>
      <c r="H42" s="125"/>
      <c r="I42" s="134"/>
      <c r="J42" s="134"/>
      <c r="K42" s="350" t="str">
        <f t="shared" si="3"/>
        <v/>
      </c>
      <c r="L42" s="291"/>
      <c r="M42" s="352"/>
      <c r="N42" s="116"/>
      <c r="O42" s="116"/>
      <c r="P42" s="116"/>
      <c r="Q42" s="351">
        <f t="shared" si="4"/>
        <v>0</v>
      </c>
      <c r="R42" s="409" t="str">
        <f t="shared" si="5"/>
        <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t="str">
        <f t="shared" si="2"/>
        <v/>
      </c>
      <c r="D43" s="395"/>
      <c r="E43" s="395"/>
      <c r="F43" s="125"/>
      <c r="G43" s="107"/>
      <c r="H43" s="125"/>
      <c r="I43" s="134"/>
      <c r="J43" s="134"/>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scale="31"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Q145"/>
  <sheetViews>
    <sheetView showGridLines="0" topLeftCell="A4" zoomScale="70" zoomScaleNormal="70" zoomScaleSheetLayoutView="40" workbookViewId="0">
      <selection activeCell="A4" sqref="A4:P39"/>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8"/>
      <c r="C1" s="458"/>
      <c r="D1" s="458"/>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6" t="s">
        <v>1</v>
      </c>
      <c r="C7" s="446"/>
      <c r="D7" s="9" t="str">
        <f>IF(ISBLANK('1. Information'!D8),"",'1. Information'!D8)</f>
        <v>Glenn</v>
      </c>
      <c r="F7" s="94" t="s">
        <v>2</v>
      </c>
      <c r="G7" s="109">
        <f>IF(ISBLANK('1. Information'!D7),"",'1. Information'!D7)</f>
        <v>43437</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6" t="s">
        <v>30</v>
      </c>
      <c r="H12" s="436"/>
      <c r="I12" s="436"/>
      <c r="J12" s="439"/>
      <c r="K12" s="308"/>
      <c r="L12"/>
      <c r="M12"/>
      <c r="N12"/>
      <c r="O12" s="108"/>
      <c r="P12" s="108"/>
    </row>
    <row r="13" spans="2:16" ht="65.25" customHeight="1" x14ac:dyDescent="0.25">
      <c r="B13" s="108"/>
      <c r="C13" s="460"/>
      <c r="D13" s="460"/>
      <c r="E13" s="460"/>
      <c r="F13" s="30" t="s">
        <v>300</v>
      </c>
      <c r="G13" s="44" t="s">
        <v>5</v>
      </c>
      <c r="H13" s="27" t="s">
        <v>6</v>
      </c>
      <c r="I13" s="27" t="s">
        <v>31</v>
      </c>
      <c r="J13" s="27" t="s">
        <v>15</v>
      </c>
      <c r="K13" s="306" t="s">
        <v>278</v>
      </c>
      <c r="L13"/>
      <c r="M13"/>
      <c r="N13"/>
      <c r="O13" s="108"/>
      <c r="P13" s="108"/>
    </row>
    <row r="14" spans="2:16" ht="15.75" x14ac:dyDescent="0.25">
      <c r="B14" s="101">
        <v>1</v>
      </c>
      <c r="C14" s="444" t="s">
        <v>160</v>
      </c>
      <c r="D14" s="444"/>
      <c r="E14" s="444"/>
      <c r="F14" s="290"/>
      <c r="G14" s="45"/>
      <c r="H14" s="29"/>
      <c r="I14" s="29"/>
      <c r="J14" s="309"/>
      <c r="K14" s="293">
        <f>SUM(F14:J14)</f>
        <v>0</v>
      </c>
      <c r="L14"/>
      <c r="M14"/>
      <c r="N14"/>
      <c r="O14" s="108"/>
      <c r="P14" s="108"/>
    </row>
    <row r="15" spans="2:16" ht="15.75" x14ac:dyDescent="0.25">
      <c r="B15" s="101">
        <v>2</v>
      </c>
      <c r="C15" s="444" t="s">
        <v>161</v>
      </c>
      <c r="D15" s="444"/>
      <c r="E15" s="444"/>
      <c r="F15" s="29"/>
      <c r="G15" s="411"/>
      <c r="H15" s="412"/>
      <c r="I15" s="412"/>
      <c r="J15" s="413"/>
      <c r="K15" s="293">
        <f>SUM(F15:J15)</f>
        <v>0</v>
      </c>
      <c r="L15"/>
      <c r="M15"/>
      <c r="N15"/>
      <c r="O15" s="108"/>
      <c r="P15" s="108"/>
    </row>
    <row r="16" spans="2:16" ht="15.75" x14ac:dyDescent="0.25">
      <c r="B16" s="405">
        <v>3</v>
      </c>
      <c r="C16" s="440" t="s">
        <v>314</v>
      </c>
      <c r="D16" s="441"/>
      <c r="E16" s="442"/>
      <c r="F16" s="367"/>
      <c r="G16" s="19"/>
      <c r="H16" s="19"/>
      <c r="I16" s="19"/>
      <c r="J16" s="19"/>
      <c r="K16" s="293">
        <f>SUM(F16:J16)</f>
        <v>0</v>
      </c>
      <c r="L16" s="404"/>
      <c r="M16" s="404"/>
      <c r="N16" s="404"/>
      <c r="O16" s="108"/>
      <c r="P16" s="108"/>
    </row>
    <row r="17" spans="2:17" ht="15.75" x14ac:dyDescent="0.25">
      <c r="B17" s="405">
        <v>4</v>
      </c>
      <c r="C17" s="440" t="s">
        <v>315</v>
      </c>
      <c r="D17" s="441"/>
      <c r="E17" s="442"/>
      <c r="F17" s="410"/>
      <c r="G17" s="19"/>
      <c r="H17" s="19"/>
      <c r="I17" s="19"/>
      <c r="J17" s="19"/>
      <c r="K17" s="293">
        <f>SUM(F17:J17)</f>
        <v>0</v>
      </c>
      <c r="L17" s="404"/>
      <c r="M17" s="404"/>
      <c r="N17" s="404"/>
      <c r="O17" s="108"/>
      <c r="P17" s="108"/>
    </row>
    <row r="18" spans="2:17" ht="15.75" x14ac:dyDescent="0.25">
      <c r="B18" s="101">
        <v>5</v>
      </c>
      <c r="C18" s="444" t="s">
        <v>162</v>
      </c>
      <c r="D18" s="444"/>
      <c r="E18" s="444"/>
      <c r="F18" s="28">
        <f>SUMIF($J$29:$J$132,"Project Administration",K$29:K$132)</f>
        <v>34330.120000000003</v>
      </c>
      <c r="G18" s="46">
        <f>SUMIF($J$29:$J$132,"Project Administration",L$29:L$132)</f>
        <v>9218.23</v>
      </c>
      <c r="H18" s="28">
        <f>SUMIF($J$29:$J$132,"Project Administration",M$29:M$132)</f>
        <v>0</v>
      </c>
      <c r="I18" s="28">
        <f>SUMIF($J$29:$J$132,"Project Administration",N$29:N$132)</f>
        <v>0</v>
      </c>
      <c r="J18" s="28">
        <f>SUMIF($J$29:$J$132,"Project Administration",O$29:O$132)</f>
        <v>52.59</v>
      </c>
      <c r="K18" s="293">
        <f t="shared" ref="K18:K20" si="0">SUM(F18:J18)</f>
        <v>43600.94</v>
      </c>
      <c r="L18"/>
      <c r="M18"/>
      <c r="N18"/>
      <c r="O18" s="108"/>
      <c r="P18" s="108"/>
    </row>
    <row r="19" spans="2:17" ht="15.75" x14ac:dyDescent="0.25">
      <c r="B19" s="101">
        <v>6</v>
      </c>
      <c r="C19" s="444" t="s">
        <v>163</v>
      </c>
      <c r="D19" s="444"/>
      <c r="E19" s="444"/>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4" t="s">
        <v>236</v>
      </c>
      <c r="D20" s="444"/>
      <c r="E20" s="444"/>
      <c r="F20" s="19">
        <f>SUMIF($J$29:$J$132,"Project Direct",K$29:K$132)</f>
        <v>125942.72</v>
      </c>
      <c r="G20" s="47">
        <f>SUMIF($J$29:$J$132,"Project Direct",L$29:L$132)</f>
        <v>61670.79</v>
      </c>
      <c r="H20" s="19">
        <f>SUMIF($J$29:$J$132,"Project Direct",M$29:M$132)</f>
        <v>0</v>
      </c>
      <c r="I20" s="19">
        <f>SUMIF($J$29:$J$132,"Project Direct",N$29:N$132)</f>
        <v>50173.84</v>
      </c>
      <c r="J20" s="19">
        <f>SUMIF($J$29:$J$132,"Project Direct",O$29:O$132)</f>
        <v>3953.58</v>
      </c>
      <c r="K20" s="293">
        <f t="shared" si="0"/>
        <v>241740.93</v>
      </c>
      <c r="L20"/>
      <c r="M20"/>
      <c r="N20"/>
      <c r="O20" s="108"/>
      <c r="P20" s="108"/>
    </row>
    <row r="21" spans="2:17" ht="15.75" x14ac:dyDescent="0.25">
      <c r="B21" s="101">
        <v>8</v>
      </c>
      <c r="C21" s="459" t="s">
        <v>164</v>
      </c>
      <c r="D21" s="459"/>
      <c r="E21" s="459"/>
      <c r="F21" s="18">
        <f>SUM(F18:F20)</f>
        <v>160272.84</v>
      </c>
      <c r="G21" s="48">
        <f>SUM(G18:G20)</f>
        <v>70889.02</v>
      </c>
      <c r="H21" s="18">
        <f>SUM(H18:H20)</f>
        <v>0</v>
      </c>
      <c r="I21" s="18">
        <f>SUM(I18:I20)</f>
        <v>50173.84</v>
      </c>
      <c r="J21" s="18">
        <f t="shared" ref="J21" si="1">SUM(J18:J20)</f>
        <v>4006.17</v>
      </c>
      <c r="K21" s="18">
        <f t="shared" ref="K21" si="2">SUM(K18:K20)</f>
        <v>285341.87</v>
      </c>
      <c r="L21"/>
      <c r="M21"/>
      <c r="N21"/>
      <c r="O21" s="108"/>
      <c r="P21" s="108"/>
    </row>
    <row r="22" spans="2:17" ht="30.95" customHeight="1" x14ac:dyDescent="0.25">
      <c r="B22" s="101">
        <v>9</v>
      </c>
      <c r="C22" s="456" t="s">
        <v>316</v>
      </c>
      <c r="D22" s="456"/>
      <c r="E22" s="456"/>
      <c r="F22" s="20">
        <f t="shared" ref="F22:K22" si="3">SUM(F14:F15,F17,F18:F20)</f>
        <v>160272.84</v>
      </c>
      <c r="G22" s="20">
        <f t="shared" si="3"/>
        <v>70889.02</v>
      </c>
      <c r="H22" s="20">
        <f t="shared" si="3"/>
        <v>0</v>
      </c>
      <c r="I22" s="20">
        <f t="shared" si="3"/>
        <v>50173.84</v>
      </c>
      <c r="J22" s="20">
        <f t="shared" si="3"/>
        <v>4006.17</v>
      </c>
      <c r="K22" s="20">
        <f t="shared" si="3"/>
        <v>285341.87</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7" t="s">
        <v>167</v>
      </c>
      <c r="E27" s="457"/>
      <c r="F27" s="457"/>
      <c r="G27" s="457"/>
      <c r="H27" s="457"/>
      <c r="I27" s="457"/>
      <c r="J27" s="457"/>
      <c r="K27" s="340" t="s">
        <v>28</v>
      </c>
      <c r="L27" s="457" t="s">
        <v>30</v>
      </c>
      <c r="M27" s="457"/>
      <c r="N27" s="457"/>
      <c r="O27" s="457"/>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11</v>
      </c>
      <c r="D29" s="395" t="s">
        <v>333</v>
      </c>
      <c r="E29" s="138"/>
      <c r="F29" s="138">
        <v>41859</v>
      </c>
      <c r="G29" s="138">
        <v>41883</v>
      </c>
      <c r="H29" s="116">
        <v>816344</v>
      </c>
      <c r="I29" s="116"/>
      <c r="J29" s="118" t="s">
        <v>158</v>
      </c>
      <c r="K29" s="120">
        <v>34330.120000000003</v>
      </c>
      <c r="L29" s="120">
        <v>9218.23</v>
      </c>
      <c r="M29" s="116"/>
      <c r="N29" s="116"/>
      <c r="O29" s="129">
        <v>52.59</v>
      </c>
      <c r="P29" s="293">
        <f t="shared" ref="P29:P64" si="4">SUM(K29:O29)</f>
        <v>43600.94</v>
      </c>
    </row>
    <row r="30" spans="2:17" x14ac:dyDescent="0.2">
      <c r="B30" s="123">
        <v>1</v>
      </c>
      <c r="C30" s="139">
        <f t="shared" ref="C30:I31" si="5">IF(ISBLANK(C29),"",C29)</f>
        <v>11</v>
      </c>
      <c r="D30" s="397" t="str">
        <f t="shared" si="5"/>
        <v>SMART Program</v>
      </c>
      <c r="E30" s="140" t="str">
        <f t="shared" si="5"/>
        <v/>
      </c>
      <c r="F30" s="140">
        <f t="shared" si="5"/>
        <v>41859</v>
      </c>
      <c r="G30" s="140">
        <f t="shared" si="5"/>
        <v>41883</v>
      </c>
      <c r="H30" s="122">
        <f t="shared" si="5"/>
        <v>816344</v>
      </c>
      <c r="I30" s="122" t="str">
        <f t="shared" si="5"/>
        <v/>
      </c>
      <c r="J30" s="119" t="s">
        <v>159</v>
      </c>
      <c r="K30" s="120"/>
      <c r="L30" s="120"/>
      <c r="M30" s="116"/>
      <c r="N30" s="116"/>
      <c r="O30" s="129"/>
      <c r="P30" s="293">
        <f t="shared" si="4"/>
        <v>0</v>
      </c>
    </row>
    <row r="31" spans="2:17" x14ac:dyDescent="0.2">
      <c r="B31" s="123">
        <v>1</v>
      </c>
      <c r="C31" s="139">
        <f t="shared" ref="C31:H31" si="6">IF(ISBLANK(C29),"",C29)</f>
        <v>11</v>
      </c>
      <c r="D31" s="398" t="str">
        <f t="shared" si="6"/>
        <v>SMART Program</v>
      </c>
      <c r="E31" s="141" t="str">
        <f t="shared" si="6"/>
        <v/>
      </c>
      <c r="F31" s="141">
        <f t="shared" si="6"/>
        <v>41859</v>
      </c>
      <c r="G31" s="141">
        <f t="shared" si="6"/>
        <v>41883</v>
      </c>
      <c r="H31" s="119">
        <f t="shared" si="6"/>
        <v>816344</v>
      </c>
      <c r="I31" s="119" t="str">
        <f t="shared" si="5"/>
        <v/>
      </c>
      <c r="J31" s="119" t="s">
        <v>237</v>
      </c>
      <c r="K31" s="120">
        <v>125942.72</v>
      </c>
      <c r="L31" s="120">
        <v>61670.79</v>
      </c>
      <c r="M31" s="116"/>
      <c r="N31" s="116">
        <v>50173.84</v>
      </c>
      <c r="O31" s="129">
        <v>3953.58</v>
      </c>
      <c r="P31" s="293">
        <f t="shared" si="4"/>
        <v>241740.93</v>
      </c>
    </row>
    <row r="32" spans="2:17" ht="15.75" x14ac:dyDescent="0.25">
      <c r="B32" s="96">
        <v>1</v>
      </c>
      <c r="C32" s="22">
        <f t="shared" ref="C32:I32" si="7">IF(ISBLANK(C29),"",C29)</f>
        <v>11</v>
      </c>
      <c r="D32" s="399" t="str">
        <f t="shared" si="7"/>
        <v>SMART Program</v>
      </c>
      <c r="E32" s="33" t="str">
        <f t="shared" si="7"/>
        <v/>
      </c>
      <c r="F32" s="33">
        <f t="shared" si="7"/>
        <v>41859</v>
      </c>
      <c r="G32" s="33">
        <f t="shared" si="7"/>
        <v>41883</v>
      </c>
      <c r="H32" s="34">
        <f t="shared" si="7"/>
        <v>816344</v>
      </c>
      <c r="I32" s="34" t="str">
        <f t="shared" si="7"/>
        <v/>
      </c>
      <c r="J32" s="8" t="s">
        <v>263</v>
      </c>
      <c r="K32" s="50">
        <f>SUM(K29:K31)</f>
        <v>160272.84</v>
      </c>
      <c r="L32" s="50">
        <f>SUM(L29:L31)</f>
        <v>70889.02</v>
      </c>
      <c r="M32" s="35">
        <f t="shared" ref="M32:O32" si="8">SUM(M29:M31)</f>
        <v>0</v>
      </c>
      <c r="N32" s="35">
        <f t="shared" si="8"/>
        <v>50173.84</v>
      </c>
      <c r="O32" s="311">
        <f t="shared" si="8"/>
        <v>4006.17</v>
      </c>
      <c r="P32" s="8">
        <f t="shared" si="4"/>
        <v>285341.86999999994</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scale="38"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sqref="A1:L45"/>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Glenn</v>
      </c>
      <c r="F7" s="94" t="s">
        <v>2</v>
      </c>
      <c r="G7" s="38">
        <f>IF(ISBLANK('1. Information'!D7),"",'1. Information'!D7)</f>
        <v>43437</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1" t="s">
        <v>213</v>
      </c>
      <c r="H12" s="462"/>
      <c r="I12" s="462"/>
      <c r="J12" s="463"/>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4" t="s">
        <v>16</v>
      </c>
      <c r="D14" s="444"/>
      <c r="E14" s="440"/>
      <c r="F14" s="290"/>
      <c r="G14" s="142"/>
      <c r="H14" s="142"/>
      <c r="I14" s="142"/>
      <c r="J14" s="142"/>
      <c r="K14" s="292">
        <f>SUM(F14:J14)</f>
        <v>0</v>
      </c>
      <c r="L14"/>
      <c r="M14"/>
      <c r="N14" s="108"/>
      <c r="O14" s="108"/>
    </row>
    <row r="15" spans="1:22" ht="15.75" x14ac:dyDescent="0.25">
      <c r="A15" s="108"/>
      <c r="B15" s="101">
        <v>2</v>
      </c>
      <c r="C15" s="444" t="s">
        <v>17</v>
      </c>
      <c r="D15" s="444"/>
      <c r="E15" s="440"/>
      <c r="F15" s="290"/>
      <c r="G15" s="142"/>
      <c r="H15" s="142"/>
      <c r="I15" s="142"/>
      <c r="J15" s="142"/>
      <c r="K15" s="292">
        <f t="shared" ref="K15:K19" si="0">SUM(F15:J15)</f>
        <v>0</v>
      </c>
      <c r="L15"/>
      <c r="M15"/>
      <c r="N15" s="108"/>
      <c r="O15" s="108"/>
    </row>
    <row r="16" spans="1:22" ht="15.75" x14ac:dyDescent="0.25">
      <c r="A16" s="108"/>
      <c r="B16" s="101">
        <v>3</v>
      </c>
      <c r="C16" s="444" t="s">
        <v>238</v>
      </c>
      <c r="D16" s="444"/>
      <c r="E16" s="440"/>
      <c r="F16" s="290"/>
      <c r="G16" s="355"/>
      <c r="H16" s="355"/>
      <c r="I16" s="355"/>
      <c r="J16" s="355"/>
      <c r="K16" s="292">
        <f t="shared" si="0"/>
        <v>0</v>
      </c>
      <c r="L16"/>
      <c r="M16"/>
      <c r="N16" s="108"/>
      <c r="O16" s="108"/>
    </row>
    <row r="17" spans="1:22" ht="15.75" x14ac:dyDescent="0.25">
      <c r="A17" s="108"/>
      <c r="B17" s="101">
        <v>4</v>
      </c>
      <c r="C17" s="444" t="s">
        <v>221</v>
      </c>
      <c r="D17" s="444"/>
      <c r="E17" s="440"/>
      <c r="F17" s="367"/>
      <c r="G17" s="119"/>
      <c r="H17" s="119"/>
      <c r="I17" s="119"/>
      <c r="J17" s="119"/>
      <c r="K17" s="292">
        <f t="shared" si="0"/>
        <v>0</v>
      </c>
      <c r="L17"/>
      <c r="M17"/>
      <c r="N17" s="108"/>
      <c r="O17" s="108"/>
    </row>
    <row r="18" spans="1:22" ht="15.75" x14ac:dyDescent="0.25">
      <c r="A18" s="108"/>
      <c r="B18" s="101">
        <v>5</v>
      </c>
      <c r="C18" s="444" t="s">
        <v>222</v>
      </c>
      <c r="D18" s="444"/>
      <c r="E18" s="440"/>
      <c r="F18" s="367"/>
      <c r="G18" s="119"/>
      <c r="H18" s="119"/>
      <c r="I18" s="119"/>
      <c r="J18" s="119"/>
      <c r="K18" s="292">
        <f t="shared" si="0"/>
        <v>0</v>
      </c>
      <c r="L18"/>
      <c r="M18"/>
      <c r="N18" s="108"/>
      <c r="O18" s="108"/>
    </row>
    <row r="19" spans="1:22" ht="15.75" x14ac:dyDescent="0.25">
      <c r="A19" s="108"/>
      <c r="B19" s="101">
        <v>6</v>
      </c>
      <c r="C19" s="440" t="s">
        <v>174</v>
      </c>
      <c r="D19" s="441"/>
      <c r="E19" s="442"/>
      <c r="F19" s="122">
        <f>SUM(E28:E32)</f>
        <v>0</v>
      </c>
      <c r="G19" s="121">
        <f t="shared" ref="G19:I19" si="1">SUM(F28:F32)</f>
        <v>0</v>
      </c>
      <c r="H19" s="122">
        <f t="shared" si="1"/>
        <v>0</v>
      </c>
      <c r="I19" s="122">
        <f t="shared" si="1"/>
        <v>0</v>
      </c>
      <c r="J19" s="122">
        <f>SUM(I28:I32)</f>
        <v>0</v>
      </c>
      <c r="K19" s="293">
        <f t="shared" si="0"/>
        <v>0</v>
      </c>
      <c r="L19"/>
      <c r="M19"/>
      <c r="N19" s="108"/>
      <c r="O19" s="108"/>
    </row>
    <row r="20" spans="1:22" ht="30.95" customHeight="1" x14ac:dyDescent="0.25">
      <c r="A20" s="108"/>
      <c r="B20" s="101">
        <v>7</v>
      </c>
      <c r="C20" s="456" t="s">
        <v>220</v>
      </c>
      <c r="D20" s="456"/>
      <c r="E20" s="456"/>
      <c r="F20" s="8">
        <f>SUM(F14:F16,F18:F19)</f>
        <v>0</v>
      </c>
      <c r="G20" s="43">
        <f t="shared" ref="G20:J20" si="2">SUM(G14:G16,G18:G19)</f>
        <v>0</v>
      </c>
      <c r="H20" s="7">
        <f t="shared" si="2"/>
        <v>0</v>
      </c>
      <c r="I20" s="7">
        <f t="shared" si="2"/>
        <v>0</v>
      </c>
      <c r="J20" s="7">
        <f t="shared" si="2"/>
        <v>0</v>
      </c>
      <c r="K20" s="8">
        <f>SUM(K14:K16,K18:K19)</f>
        <v>0</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4" t="s">
        <v>30</v>
      </c>
      <c r="G26" s="464"/>
      <c r="H26" s="464"/>
      <c r="I26" s="464"/>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15.75" x14ac:dyDescent="0.25">
      <c r="A29" s="108"/>
      <c r="B29" s="101">
        <v>2</v>
      </c>
      <c r="C29" s="132" t="str">
        <f>IF(J29&lt;&gt;0,VLOOKUP($D$7,Info_County_Code,2,FALSE),"")</f>
        <v/>
      </c>
      <c r="D29" s="145" t="s">
        <v>106</v>
      </c>
      <c r="E29" s="116"/>
      <c r="F29" s="120"/>
      <c r="G29" s="116"/>
      <c r="H29" s="116"/>
      <c r="I29" s="313"/>
      <c r="J29" s="119">
        <f t="shared" ref="J29:J32" si="3">SUM(E29:I29)</f>
        <v>0</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Z55"/>
  <sheetViews>
    <sheetView showGridLines="0" zoomScale="70" zoomScaleNormal="70" zoomScaleSheetLayoutView="40" workbookViewId="0">
      <selection sqref="A1:L53"/>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8"/>
      <c r="C1" s="458"/>
      <c r="D1" s="458"/>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Glenn</v>
      </c>
      <c r="E7" s="16"/>
      <c r="F7" s="95" t="s">
        <v>2</v>
      </c>
      <c r="G7" s="109">
        <f>IF(ISBLANK('1. Information'!D7),"",'1. Information'!D7)</f>
        <v>43437</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6" t="s">
        <v>213</v>
      </c>
      <c r="H12" s="446"/>
      <c r="I12" s="446"/>
      <c r="J12" s="446"/>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4" t="s">
        <v>189</v>
      </c>
      <c r="D14" s="444"/>
      <c r="E14" s="440"/>
      <c r="F14" s="142"/>
      <c r="G14" s="142"/>
      <c r="H14" s="142"/>
      <c r="I14" s="142"/>
      <c r="J14" s="142"/>
      <c r="K14" s="118">
        <f>SUM(F14:J14)</f>
        <v>0</v>
      </c>
      <c r="L14"/>
      <c r="M14"/>
      <c r="U14" s="108"/>
      <c r="V14" s="108"/>
      <c r="W14" s="108"/>
    </row>
    <row r="15" spans="2:23" x14ac:dyDescent="0.25">
      <c r="B15" s="101">
        <v>2</v>
      </c>
      <c r="C15" s="444" t="s">
        <v>188</v>
      </c>
      <c r="D15" s="444"/>
      <c r="E15" s="440"/>
      <c r="F15" s="142"/>
      <c r="G15" s="142"/>
      <c r="H15" s="142"/>
      <c r="I15" s="142"/>
      <c r="J15" s="142"/>
      <c r="K15" s="118">
        <f t="shared" ref="K15:K20" si="0">SUM(F15:J15)</f>
        <v>0</v>
      </c>
      <c r="L15"/>
      <c r="M15"/>
      <c r="U15" s="108"/>
      <c r="V15" s="108"/>
      <c r="W15" s="108"/>
    </row>
    <row r="16" spans="2:23" x14ac:dyDescent="0.25">
      <c r="B16" s="101">
        <v>3</v>
      </c>
      <c r="C16" s="444" t="s">
        <v>123</v>
      </c>
      <c r="D16" s="444"/>
      <c r="E16" s="440"/>
      <c r="F16" s="142"/>
      <c r="G16" s="142"/>
      <c r="H16" s="142"/>
      <c r="I16" s="142"/>
      <c r="J16" s="142"/>
      <c r="K16" s="118">
        <f t="shared" si="0"/>
        <v>0</v>
      </c>
      <c r="L16"/>
      <c r="M16"/>
      <c r="U16" s="108"/>
      <c r="V16" s="108"/>
      <c r="W16" s="108"/>
    </row>
    <row r="17" spans="2:23" x14ac:dyDescent="0.25">
      <c r="B17" s="101">
        <v>4</v>
      </c>
      <c r="C17" s="444" t="s">
        <v>122</v>
      </c>
      <c r="D17" s="444"/>
      <c r="E17" s="440"/>
      <c r="F17" s="142"/>
      <c r="G17" s="142"/>
      <c r="H17" s="142"/>
      <c r="I17" s="142"/>
      <c r="J17" s="142"/>
      <c r="K17" s="118">
        <f t="shared" si="0"/>
        <v>0</v>
      </c>
      <c r="L17"/>
      <c r="M17"/>
      <c r="U17" s="108"/>
      <c r="V17" s="108"/>
      <c r="W17" s="108"/>
    </row>
    <row r="18" spans="2:23" x14ac:dyDescent="0.25">
      <c r="B18" s="101">
        <v>5</v>
      </c>
      <c r="C18" s="444" t="s">
        <v>239</v>
      </c>
      <c r="D18" s="444"/>
      <c r="E18" s="440"/>
      <c r="F18" s="142"/>
      <c r="G18" s="142"/>
      <c r="H18" s="142"/>
      <c r="I18" s="142"/>
      <c r="J18" s="142"/>
      <c r="K18" s="118">
        <f t="shared" si="0"/>
        <v>0</v>
      </c>
      <c r="L18"/>
      <c r="M18"/>
      <c r="U18" s="108"/>
      <c r="V18" s="108"/>
      <c r="W18" s="108"/>
    </row>
    <row r="19" spans="2:23" x14ac:dyDescent="0.25">
      <c r="B19" s="101">
        <v>6</v>
      </c>
      <c r="C19" s="444" t="s">
        <v>240</v>
      </c>
      <c r="D19" s="444"/>
      <c r="E19" s="440"/>
      <c r="F19" s="142"/>
      <c r="G19" s="142"/>
      <c r="H19" s="142"/>
      <c r="I19" s="142"/>
      <c r="J19" s="355"/>
      <c r="K19" s="118">
        <f t="shared" si="0"/>
        <v>0</v>
      </c>
      <c r="L19"/>
      <c r="M19"/>
      <c r="U19" s="108"/>
      <c r="V19" s="108"/>
      <c r="W19" s="108"/>
    </row>
    <row r="20" spans="2:23" x14ac:dyDescent="0.25">
      <c r="B20" s="101">
        <v>7</v>
      </c>
      <c r="C20" s="444" t="s">
        <v>175</v>
      </c>
      <c r="D20" s="444"/>
      <c r="E20" s="444"/>
      <c r="F20" s="121">
        <f>SUM(G28:G47)</f>
        <v>0</v>
      </c>
      <c r="G20" s="121">
        <f>SUM(H28:H47)</f>
        <v>0</v>
      </c>
      <c r="H20" s="122">
        <f t="shared" ref="H20" si="1">SUM(I28:I47)</f>
        <v>0</v>
      </c>
      <c r="I20" s="122">
        <f>SUM(J28:J47)</f>
        <v>0</v>
      </c>
      <c r="J20" s="119">
        <f>SUM(K28:K47)</f>
        <v>0</v>
      </c>
      <c r="K20" s="118">
        <f t="shared" si="0"/>
        <v>0</v>
      </c>
      <c r="L20"/>
      <c r="M20"/>
      <c r="U20" s="108"/>
      <c r="V20" s="108"/>
      <c r="W20" s="108"/>
    </row>
    <row r="21" spans="2:23" ht="30.95" customHeight="1" x14ac:dyDescent="0.25">
      <c r="B21" s="101">
        <v>8</v>
      </c>
      <c r="C21" s="465" t="s">
        <v>20</v>
      </c>
      <c r="D21" s="465"/>
      <c r="E21" s="465"/>
      <c r="F21" s="43">
        <f>SUM(F14:F20)</f>
        <v>0</v>
      </c>
      <c r="G21" s="43">
        <f>SUM(G14:G20)</f>
        <v>0</v>
      </c>
      <c r="H21" s="7">
        <f t="shared" ref="H21:J21" si="2">SUM(H14:H20)</f>
        <v>0</v>
      </c>
      <c r="I21" s="7">
        <f t="shared" si="2"/>
        <v>0</v>
      </c>
      <c r="J21" s="299">
        <f t="shared" si="2"/>
        <v>0</v>
      </c>
      <c r="K21" s="7">
        <f t="shared" ref="K21" si="3">SUM(K14:K20)</f>
        <v>0</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4" t="s">
        <v>224</v>
      </c>
      <c r="E26" s="464"/>
      <c r="F26" s="464"/>
      <c r="G26" s="344" t="s">
        <v>214</v>
      </c>
      <c r="H26" s="464" t="s">
        <v>213</v>
      </c>
      <c r="I26" s="464"/>
      <c r="J26" s="464"/>
      <c r="K26" s="464"/>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t="str">
        <f t="shared" ref="C28:C47" si="4">IF(L28&lt;&gt;0,VLOOKUP($D$7,Info_County_Code,2,FALSE),"")</f>
        <v/>
      </c>
      <c r="D28" s="151"/>
      <c r="E28" s="151"/>
      <c r="F28" s="125"/>
      <c r="G28" s="117"/>
      <c r="H28" s="126"/>
      <c r="I28" s="126"/>
      <c r="J28" s="117"/>
      <c r="K28" s="312"/>
      <c r="L28" s="316">
        <f>SUM(G28:K28)</f>
        <v>0</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scale="48"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X25"/>
  <sheetViews>
    <sheetView showGridLines="0" zoomScale="70" zoomScaleNormal="70" workbookViewId="0">
      <selection activeCell="L17" sqref="L17"/>
    </sheetView>
  </sheetViews>
  <sheetFormatPr defaultColWidth="0" defaultRowHeight="15.75" zeroHeight="1" x14ac:dyDescent="0.25"/>
  <cols>
    <col min="1" max="1" width="2.855468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8"/>
      <c r="C1" s="458"/>
      <c r="D1" s="458"/>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6" t="s">
        <v>1</v>
      </c>
      <c r="C7" s="446"/>
      <c r="D7" s="9" t="str">
        <f>IF(ISBLANK('1. Information'!D8),"",'1. Information'!D8)</f>
        <v>Glenn</v>
      </c>
      <c r="F7" s="94" t="s">
        <v>2</v>
      </c>
      <c r="G7" s="109">
        <f>IF(ISBLANK('1. Information'!D7),"",'1. Information'!D7)</f>
        <v>43437</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7" t="s">
        <v>30</v>
      </c>
      <c r="G12" s="457"/>
      <c r="H12" s="457"/>
      <c r="I12" s="457"/>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f>IF(J14&lt;&gt;0,VLOOKUP($D$7,Info_County_Code,2,FALSE),"")</f>
        <v>11</v>
      </c>
      <c r="D14" s="84" t="s">
        <v>120</v>
      </c>
      <c r="E14" s="117">
        <v>408152.78</v>
      </c>
      <c r="F14" s="126"/>
      <c r="G14" s="126"/>
      <c r="H14" s="117"/>
      <c r="I14" s="312"/>
      <c r="J14" s="316">
        <f>SUM(E14:I14)</f>
        <v>408152.78</v>
      </c>
      <c r="R14" s="108"/>
      <c r="S14" s="108"/>
    </row>
    <row r="15" spans="2:20" x14ac:dyDescent="0.25">
      <c r="B15" s="101">
        <v>2</v>
      </c>
      <c r="C15" s="132">
        <f>IF(J15&lt;&gt;0,VLOOKUP($D$7,Info_County_Code,2,FALSE),"")</f>
        <v>11</v>
      </c>
      <c r="D15" s="84" t="s">
        <v>121</v>
      </c>
      <c r="E15" s="116">
        <v>127208</v>
      </c>
      <c r="F15" s="120">
        <v>17456.25</v>
      </c>
      <c r="G15" s="116"/>
      <c r="H15" s="116"/>
      <c r="I15" s="313"/>
      <c r="J15" s="316">
        <f>SUM(E15:I15)</f>
        <v>144664.25</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scale="7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sqref="A1:I35"/>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6" t="s">
        <v>1</v>
      </c>
      <c r="C7" s="446"/>
      <c r="D7" s="9" t="str">
        <f>IF(ISBLANK('1. Information'!D8),"",'1. Information'!D8)</f>
        <v>Glenn</v>
      </c>
      <c r="E7" s="3"/>
      <c r="F7" s="97" t="s">
        <v>178</v>
      </c>
      <c r="G7" s="109">
        <f>IF(ISBLANK('1. Information'!D7),"",'1. Information'!D7)</f>
        <v>43437</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ht="30" x14ac:dyDescent="0.2">
      <c r="B13" s="101">
        <v>1</v>
      </c>
      <c r="C13" s="132">
        <f t="shared" ref="C13:C42" si="0">IF(F13&lt;&gt;0,VLOOKUP($D$7,Info_County_Code,2,FALSE),"")</f>
        <v>11</v>
      </c>
      <c r="D13" s="149" t="s">
        <v>34</v>
      </c>
      <c r="E13" s="337" t="s">
        <v>291</v>
      </c>
      <c r="F13" s="336">
        <v>-8827.11</v>
      </c>
      <c r="G13" s="364" t="s">
        <v>334</v>
      </c>
    </row>
    <row r="14" spans="2:7" ht="30" x14ac:dyDescent="0.2">
      <c r="B14" s="101">
        <v>2</v>
      </c>
      <c r="C14" s="132">
        <f t="shared" si="0"/>
        <v>11</v>
      </c>
      <c r="D14" s="379" t="s">
        <v>35</v>
      </c>
      <c r="E14" s="133" t="s">
        <v>290</v>
      </c>
      <c r="F14" s="150">
        <v>-180.33</v>
      </c>
      <c r="G14" s="364" t="s">
        <v>335</v>
      </c>
    </row>
    <row r="15" spans="2:7" ht="30" x14ac:dyDescent="0.2">
      <c r="B15" s="101">
        <v>3</v>
      </c>
      <c r="C15" s="132">
        <f t="shared" si="0"/>
        <v>11</v>
      </c>
      <c r="D15" s="379" t="s">
        <v>36</v>
      </c>
      <c r="E15" s="133" t="s">
        <v>290</v>
      </c>
      <c r="F15" s="150">
        <v>-608.02</v>
      </c>
      <c r="G15" s="364" t="s">
        <v>335</v>
      </c>
    </row>
    <row r="16" spans="2:7" ht="30" x14ac:dyDescent="0.2">
      <c r="B16" s="101">
        <v>4</v>
      </c>
      <c r="C16" s="132">
        <f t="shared" si="0"/>
        <v>11</v>
      </c>
      <c r="D16" s="379" t="s">
        <v>41</v>
      </c>
      <c r="E16" s="133" t="s">
        <v>291</v>
      </c>
      <c r="F16" s="150">
        <v>701</v>
      </c>
      <c r="G16" s="364" t="s">
        <v>334</v>
      </c>
    </row>
    <row r="17" spans="2:7" x14ac:dyDescent="0.2">
      <c r="B17" s="101">
        <v>5</v>
      </c>
      <c r="C17" s="132" t="str">
        <f t="shared" si="0"/>
        <v/>
      </c>
      <c r="D17" s="379"/>
      <c r="E17" s="133"/>
      <c r="F17" s="152"/>
      <c r="G17" s="364"/>
    </row>
    <row r="18" spans="2:7" x14ac:dyDescent="0.2">
      <c r="B18" s="101">
        <v>6</v>
      </c>
      <c r="C18" s="132" t="str">
        <f t="shared" si="0"/>
        <v/>
      </c>
      <c r="D18" s="149"/>
      <c r="E18" s="133"/>
      <c r="F18" s="152"/>
      <c r="G18" s="364"/>
    </row>
    <row r="19" spans="2:7" x14ac:dyDescent="0.2">
      <c r="B19" s="101">
        <v>7</v>
      </c>
      <c r="C19" s="132" t="str">
        <f t="shared" si="0"/>
        <v/>
      </c>
      <c r="D19" s="149"/>
      <c r="E19" s="133"/>
      <c r="F19" s="152"/>
      <c r="G19" s="364"/>
    </row>
    <row r="20" spans="2:7" x14ac:dyDescent="0.2">
      <c r="B20" s="101">
        <v>8</v>
      </c>
      <c r="C20" s="132" t="str">
        <f t="shared" si="0"/>
        <v/>
      </c>
      <c r="D20" s="149"/>
      <c r="E20" s="133"/>
      <c r="F20" s="152"/>
      <c r="G20" s="364"/>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G24" sqref="G24"/>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8"/>
      <c r="C1" s="458"/>
      <c r="D1" s="458"/>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6" t="s">
        <v>1</v>
      </c>
      <c r="C7" s="446"/>
      <c r="D7" s="9" t="str">
        <f>IF(ISBLANK('1. Information'!D8),"",'1. Information'!D8)</f>
        <v>Glenn</v>
      </c>
      <c r="F7" s="94" t="s">
        <v>2</v>
      </c>
      <c r="G7" s="38">
        <f>IF(ISBLANK('1. Information'!D7),"",'1. Information'!D7)</f>
        <v>43437</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f t="shared" ref="C13:C52" si="0">IF(I13&lt;&gt;0,VLOOKUP($D$7,Info_County_Code,2,FALSE),"")</f>
        <v>11</v>
      </c>
      <c r="D13" s="379" t="s">
        <v>290</v>
      </c>
      <c r="E13" s="149" t="s">
        <v>182</v>
      </c>
      <c r="F13" s="390" t="s">
        <v>34</v>
      </c>
      <c r="G13" s="92">
        <v>1943316.21</v>
      </c>
      <c r="H13" s="92">
        <v>-179.33</v>
      </c>
      <c r="I13" s="91">
        <f>SUM(G13:H13)</f>
        <v>1943136.88</v>
      </c>
    </row>
    <row r="14" spans="2:9" x14ac:dyDescent="0.2">
      <c r="B14" s="101">
        <v>2</v>
      </c>
      <c r="C14" s="132">
        <f t="shared" si="0"/>
        <v>11</v>
      </c>
      <c r="D14" s="379" t="s">
        <v>290</v>
      </c>
      <c r="E14" s="149" t="s">
        <v>182</v>
      </c>
      <c r="F14" s="390" t="s">
        <v>34</v>
      </c>
      <c r="G14" s="92">
        <v>1875</v>
      </c>
      <c r="H14" s="92">
        <v>-701</v>
      </c>
      <c r="I14" s="91">
        <f t="shared" ref="I14:I52" si="1">SUM(G14:H14)</f>
        <v>1174</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C12" sqref="C12"/>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t="s">
        <v>336</v>
      </c>
    </row>
    <row r="9" spans="1:28" ht="33.75" customHeight="1" x14ac:dyDescent="0.2">
      <c r="B9" s="249">
        <v>2</v>
      </c>
      <c r="C9" s="253" t="s">
        <v>337</v>
      </c>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6" t="s">
        <v>169</v>
      </c>
      <c r="B1" s="467"/>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49"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9" t="s">
        <v>198</v>
      </c>
      <c r="B2" s="469"/>
      <c r="C2" s="469"/>
      <c r="D2" s="469"/>
      <c r="E2" s="469"/>
    </row>
    <row r="3" spans="1:7" ht="14.25" customHeight="1" x14ac:dyDescent="0.25">
      <c r="A3" s="469" t="s">
        <v>307</v>
      </c>
      <c r="B3" s="469"/>
      <c r="C3" s="469"/>
      <c r="D3" s="469"/>
      <c r="E3" s="469"/>
    </row>
    <row r="4" spans="1:7" ht="14.25" customHeight="1" thickBot="1" x14ac:dyDescent="0.3">
      <c r="A4" s="173"/>
      <c r="B4" s="174"/>
      <c r="C4" s="175"/>
      <c r="D4" s="176"/>
    </row>
    <row r="5" spans="1:7" ht="14.25" customHeight="1" x14ac:dyDescent="0.25">
      <c r="A5" s="177" t="s">
        <v>199</v>
      </c>
      <c r="B5" s="468" t="s">
        <v>200</v>
      </c>
      <c r="C5" s="468"/>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Glenn County</cp:lastModifiedBy>
  <cp:lastPrinted>2019-02-08T23:57:10Z</cp:lastPrinted>
  <dcterms:created xsi:type="dcterms:W3CDTF">2017-07-05T19:48:18Z</dcterms:created>
  <dcterms:modified xsi:type="dcterms:W3CDTF">2019-02-08T23:57:55Z</dcterms:modified>
</cp:coreProperties>
</file>