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23040" windowHeight="8910" tabRatio="584" firstSheet="1" activeTab="6"/>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9" l="1"/>
  <c r="H29" i="3" l="1"/>
  <c r="F16" i="2" l="1"/>
  <c r="F16" i="22" l="1"/>
  <c r="F15" i="22"/>
  <c r="F14" i="22"/>
  <c r="G16" i="22"/>
  <c r="G15" i="22"/>
  <c r="G14"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5" i="7"/>
  <c r="C14" i="7"/>
  <c r="C47" i="6"/>
  <c r="C46" i="6"/>
  <c r="C45" i="6"/>
  <c r="C44" i="6"/>
  <c r="C43" i="6"/>
  <c r="C42" i="6"/>
  <c r="C41" i="6"/>
  <c r="C40" i="6"/>
  <c r="C39" i="6"/>
  <c r="C38" i="6"/>
  <c r="C37" i="6"/>
  <c r="C36" i="6"/>
  <c r="C35" i="6"/>
  <c r="C34" i="6"/>
  <c r="C33" i="6"/>
  <c r="C32" i="6"/>
  <c r="C31" i="6"/>
  <c r="C30" i="6"/>
  <c r="C29" i="6"/>
  <c r="C32" i="5"/>
  <c r="C31" i="5"/>
  <c r="C30" i="5"/>
  <c r="C28" i="5"/>
  <c r="C129" i="3"/>
  <c r="C125" i="3"/>
  <c r="C121" i="3"/>
  <c r="C117" i="3"/>
  <c r="C113" i="3"/>
  <c r="C109" i="3"/>
  <c r="C105" i="3"/>
  <c r="C101" i="3"/>
  <c r="C97" i="3"/>
  <c r="C93" i="3"/>
  <c r="C89" i="3"/>
  <c r="C85" i="3"/>
  <c r="C81" i="3"/>
  <c r="C77" i="3"/>
  <c r="C73" i="3"/>
  <c r="C69" i="3"/>
  <c r="C65" i="3"/>
  <c r="C61" i="3"/>
  <c r="C57" i="3"/>
  <c r="C53" i="3"/>
  <c r="C49" i="3"/>
  <c r="C45" i="3"/>
  <c r="C41" i="3"/>
  <c r="C37" i="3"/>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H34" i="19"/>
  <c r="H33" i="19"/>
  <c r="H31" i="19"/>
  <c r="G34" i="19"/>
  <c r="G32" i="19"/>
  <c r="G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C100"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C104"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C108"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C112"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C116"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C120"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C124"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C126"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C96" i="3"/>
  <c r="O92" i="3"/>
  <c r="N92" i="3"/>
  <c r="M92" i="3"/>
  <c r="P92"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19" i="3"/>
  <c r="P120" i="3"/>
  <c r="C114" i="3"/>
  <c r="P116" i="3"/>
  <c r="C110" i="3"/>
  <c r="P112" i="3"/>
  <c r="C106" i="3"/>
  <c r="P108" i="3"/>
  <c r="C102" i="3"/>
  <c r="P104" i="3"/>
  <c r="C98" i="3"/>
  <c r="P100" i="3"/>
  <c r="P128" i="3"/>
  <c r="P132" i="3"/>
  <c r="C132" i="3" s="1"/>
  <c r="C99" i="3"/>
  <c r="C103" i="3"/>
  <c r="C107" i="3"/>
  <c r="C111" i="3"/>
  <c r="C115" i="3"/>
  <c r="C122" i="3"/>
  <c r="C118" i="3"/>
  <c r="C123" i="3"/>
  <c r="C127" i="3"/>
  <c r="C128" i="3"/>
  <c r="P96" i="3"/>
  <c r="C94" i="3"/>
  <c r="C95" i="3"/>
  <c r="C90" i="3"/>
  <c r="C91" i="3"/>
  <c r="P36" i="3"/>
  <c r="C33" i="3" s="1"/>
  <c r="C131" i="3" l="1"/>
  <c r="C130" i="3"/>
  <c r="B3" i="20"/>
  <c r="B4" i="20"/>
  <c r="K30" i="19" l="1"/>
  <c r="K35" i="19" s="1"/>
  <c r="M27" i="19"/>
  <c r="D17" i="19" s="1"/>
  <c r="H27" i="19"/>
  <c r="G27" i="19"/>
  <c r="J15" i="7" l="1"/>
  <c r="J14" i="7"/>
  <c r="K19" i="6"/>
  <c r="K18" i="6"/>
  <c r="K17" i="6"/>
  <c r="K16" i="6"/>
  <c r="K15" i="6"/>
  <c r="K14" i="6"/>
  <c r="L29" i="6"/>
  <c r="L30" i="6"/>
  <c r="L31" i="6"/>
  <c r="L32" i="6"/>
  <c r="L33" i="6"/>
  <c r="L34" i="6"/>
  <c r="L35" i="6"/>
  <c r="L36" i="6"/>
  <c r="L37" i="6"/>
  <c r="L38" i="6"/>
  <c r="L39" i="6"/>
  <c r="L40" i="6"/>
  <c r="L41" i="6"/>
  <c r="L42" i="6"/>
  <c r="L43" i="6"/>
  <c r="L44" i="6"/>
  <c r="L45" i="6"/>
  <c r="L46" i="6"/>
  <c r="L47" i="6"/>
  <c r="L28" i="6"/>
  <c r="C28" i="6" s="1"/>
  <c r="J32" i="5"/>
  <c r="J31" i="5"/>
  <c r="J30" i="5"/>
  <c r="J29" i="5"/>
  <c r="C29" i="5" s="1"/>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J23" i="22" l="1"/>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40" i="3" l="1"/>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C88" i="3"/>
  <c r="J84" i="3"/>
  <c r="I84" i="3"/>
  <c r="H84" i="3"/>
  <c r="G84" i="3"/>
  <c r="F84" i="3"/>
  <c r="E84" i="3"/>
  <c r="D84" i="3"/>
  <c r="J83" i="3"/>
  <c r="I83" i="3"/>
  <c r="H83" i="3"/>
  <c r="G83" i="3"/>
  <c r="F83" i="3"/>
  <c r="E83" i="3"/>
  <c r="D83" i="3"/>
  <c r="J82" i="3"/>
  <c r="I82" i="3"/>
  <c r="H82" i="3"/>
  <c r="G82" i="3"/>
  <c r="F82" i="3"/>
  <c r="E82" i="3"/>
  <c r="D82" i="3"/>
  <c r="J81" i="3"/>
  <c r="C84" i="3"/>
  <c r="J80" i="3"/>
  <c r="I80" i="3"/>
  <c r="H80" i="3"/>
  <c r="G80" i="3"/>
  <c r="F80" i="3"/>
  <c r="E80" i="3"/>
  <c r="D80" i="3"/>
  <c r="J79" i="3"/>
  <c r="I79" i="3"/>
  <c r="H79" i="3"/>
  <c r="G79" i="3"/>
  <c r="F79" i="3"/>
  <c r="E79" i="3"/>
  <c r="D79" i="3"/>
  <c r="J78" i="3"/>
  <c r="I78" i="3"/>
  <c r="H78" i="3"/>
  <c r="G78" i="3"/>
  <c r="F78" i="3"/>
  <c r="E78" i="3"/>
  <c r="D78" i="3"/>
  <c r="J77" i="3"/>
  <c r="C80" i="3"/>
  <c r="J76" i="3"/>
  <c r="I76" i="3"/>
  <c r="H76" i="3"/>
  <c r="G76" i="3"/>
  <c r="F76" i="3"/>
  <c r="E76" i="3"/>
  <c r="D76" i="3"/>
  <c r="J75" i="3"/>
  <c r="I75" i="3"/>
  <c r="H75" i="3"/>
  <c r="G75" i="3"/>
  <c r="F75" i="3"/>
  <c r="E75" i="3"/>
  <c r="D75" i="3"/>
  <c r="J74" i="3"/>
  <c r="I74" i="3"/>
  <c r="H74" i="3"/>
  <c r="G74" i="3"/>
  <c r="F74" i="3"/>
  <c r="E74" i="3"/>
  <c r="D74" i="3"/>
  <c r="J73" i="3"/>
  <c r="C74" i="3"/>
  <c r="J72" i="3"/>
  <c r="I72" i="3"/>
  <c r="H72" i="3"/>
  <c r="G72" i="3"/>
  <c r="F72" i="3"/>
  <c r="E72" i="3"/>
  <c r="D72" i="3"/>
  <c r="J71" i="3"/>
  <c r="I71" i="3"/>
  <c r="H71" i="3"/>
  <c r="G71" i="3"/>
  <c r="F71" i="3"/>
  <c r="E71" i="3"/>
  <c r="D71" i="3"/>
  <c r="J70" i="3"/>
  <c r="I70" i="3"/>
  <c r="H70" i="3"/>
  <c r="G70" i="3"/>
  <c r="F70" i="3"/>
  <c r="E70" i="3"/>
  <c r="D70" i="3"/>
  <c r="J69" i="3"/>
  <c r="C72" i="3"/>
  <c r="J68" i="3"/>
  <c r="I68" i="3"/>
  <c r="H68" i="3"/>
  <c r="G68" i="3"/>
  <c r="F68" i="3"/>
  <c r="E68" i="3"/>
  <c r="D68" i="3"/>
  <c r="J67" i="3"/>
  <c r="I67" i="3"/>
  <c r="H67" i="3"/>
  <c r="G67" i="3"/>
  <c r="F67" i="3"/>
  <c r="E67" i="3"/>
  <c r="D67" i="3"/>
  <c r="J66" i="3"/>
  <c r="I66" i="3"/>
  <c r="H66" i="3"/>
  <c r="G66" i="3"/>
  <c r="F66" i="3"/>
  <c r="E66" i="3"/>
  <c r="D66" i="3"/>
  <c r="J65" i="3"/>
  <c r="C68" i="3"/>
  <c r="J64" i="3"/>
  <c r="I64" i="3"/>
  <c r="H64" i="3"/>
  <c r="G64" i="3"/>
  <c r="F64" i="3"/>
  <c r="E64" i="3"/>
  <c r="D64" i="3"/>
  <c r="J63" i="3"/>
  <c r="I63" i="3"/>
  <c r="H63" i="3"/>
  <c r="G63" i="3"/>
  <c r="F63" i="3"/>
  <c r="E63" i="3"/>
  <c r="D63" i="3"/>
  <c r="J62" i="3"/>
  <c r="I62" i="3"/>
  <c r="H62" i="3"/>
  <c r="G62" i="3"/>
  <c r="F62" i="3"/>
  <c r="E62" i="3"/>
  <c r="D62" i="3"/>
  <c r="J61" i="3"/>
  <c r="C62" i="3"/>
  <c r="J60" i="3"/>
  <c r="I60" i="3"/>
  <c r="H60" i="3"/>
  <c r="G60" i="3"/>
  <c r="F60" i="3"/>
  <c r="E60" i="3"/>
  <c r="D60" i="3"/>
  <c r="J59" i="3"/>
  <c r="I59" i="3"/>
  <c r="H59" i="3"/>
  <c r="G59" i="3"/>
  <c r="F59" i="3"/>
  <c r="E59" i="3"/>
  <c r="D59" i="3"/>
  <c r="J58" i="3"/>
  <c r="I58" i="3"/>
  <c r="H58" i="3"/>
  <c r="G58" i="3"/>
  <c r="F58" i="3"/>
  <c r="E58" i="3"/>
  <c r="D58" i="3"/>
  <c r="J57" i="3"/>
  <c r="C59" i="3"/>
  <c r="J56" i="3"/>
  <c r="I56" i="3"/>
  <c r="H56" i="3"/>
  <c r="G56" i="3"/>
  <c r="F56" i="3"/>
  <c r="E56" i="3"/>
  <c r="D56" i="3"/>
  <c r="J55" i="3"/>
  <c r="I55" i="3"/>
  <c r="H55" i="3"/>
  <c r="G55" i="3"/>
  <c r="F55" i="3"/>
  <c r="E55" i="3"/>
  <c r="D55" i="3"/>
  <c r="J54" i="3"/>
  <c r="I54" i="3"/>
  <c r="H54" i="3"/>
  <c r="G54" i="3"/>
  <c r="F54" i="3"/>
  <c r="E54" i="3"/>
  <c r="D54" i="3"/>
  <c r="J53" i="3"/>
  <c r="C54" i="3"/>
  <c r="J52" i="3"/>
  <c r="I52" i="3"/>
  <c r="H52" i="3"/>
  <c r="G52" i="3"/>
  <c r="F52" i="3"/>
  <c r="E52" i="3"/>
  <c r="D52" i="3"/>
  <c r="J51" i="3"/>
  <c r="I51" i="3"/>
  <c r="H51" i="3"/>
  <c r="G51" i="3"/>
  <c r="F51" i="3"/>
  <c r="E51" i="3"/>
  <c r="D51" i="3"/>
  <c r="J50" i="3"/>
  <c r="I50" i="3"/>
  <c r="H50" i="3"/>
  <c r="G50" i="3"/>
  <c r="F50" i="3"/>
  <c r="E50" i="3"/>
  <c r="D50" i="3"/>
  <c r="J49" i="3"/>
  <c r="C51" i="3"/>
  <c r="J48" i="3"/>
  <c r="I48" i="3"/>
  <c r="H48" i="3"/>
  <c r="G48" i="3"/>
  <c r="F48" i="3"/>
  <c r="E48" i="3"/>
  <c r="D48" i="3"/>
  <c r="J47" i="3"/>
  <c r="I47" i="3"/>
  <c r="H47" i="3"/>
  <c r="G47" i="3"/>
  <c r="F47" i="3"/>
  <c r="E47" i="3"/>
  <c r="D47" i="3"/>
  <c r="J46" i="3"/>
  <c r="I46" i="3"/>
  <c r="H46" i="3"/>
  <c r="G46" i="3"/>
  <c r="F46" i="3"/>
  <c r="E46" i="3"/>
  <c r="D46" i="3"/>
  <c r="J45" i="3"/>
  <c r="C48" i="3"/>
  <c r="J44" i="3"/>
  <c r="I44" i="3"/>
  <c r="H44" i="3"/>
  <c r="G44" i="3"/>
  <c r="F44" i="3"/>
  <c r="E44" i="3"/>
  <c r="D44" i="3"/>
  <c r="J43" i="3"/>
  <c r="I43" i="3"/>
  <c r="H43" i="3"/>
  <c r="G43" i="3"/>
  <c r="F43" i="3"/>
  <c r="E43" i="3"/>
  <c r="D43" i="3"/>
  <c r="J42" i="3"/>
  <c r="I42" i="3"/>
  <c r="H42" i="3"/>
  <c r="G42" i="3"/>
  <c r="F42" i="3"/>
  <c r="E42" i="3"/>
  <c r="D42" i="3"/>
  <c r="J41" i="3"/>
  <c r="C42" i="3"/>
  <c r="I40" i="3"/>
  <c r="I39" i="3"/>
  <c r="I38" i="3"/>
  <c r="H40" i="3"/>
  <c r="H39" i="3"/>
  <c r="H38" i="3"/>
  <c r="G40" i="3"/>
  <c r="G39" i="3"/>
  <c r="G38" i="3"/>
  <c r="F40" i="3"/>
  <c r="F39" i="3"/>
  <c r="F38" i="3"/>
  <c r="E40" i="3"/>
  <c r="E39" i="3"/>
  <c r="E38" i="3"/>
  <c r="D40" i="3"/>
  <c r="D39" i="3"/>
  <c r="D38" i="3"/>
  <c r="J39" i="3"/>
  <c r="J38" i="3"/>
  <c r="C36" i="3" l="1"/>
  <c r="C35" i="3"/>
  <c r="C34" i="3"/>
  <c r="P52" i="3"/>
  <c r="P84" i="3"/>
  <c r="P56" i="3"/>
  <c r="P88" i="3"/>
  <c r="P60" i="3"/>
  <c r="P64" i="3"/>
  <c r="P68" i="3"/>
  <c r="P40" i="3"/>
  <c r="P72" i="3"/>
  <c r="P44" i="3"/>
  <c r="P76" i="3"/>
  <c r="P48" i="3"/>
  <c r="P80" i="3"/>
  <c r="P32" i="3"/>
  <c r="C29" i="3" s="1"/>
  <c r="C86" i="3"/>
  <c r="C87" i="3"/>
  <c r="C82" i="3"/>
  <c r="C83" i="3"/>
  <c r="C78" i="3"/>
  <c r="C79" i="3"/>
  <c r="C70" i="3"/>
  <c r="C71" i="3"/>
  <c r="C66" i="3"/>
  <c r="C67" i="3"/>
  <c r="C76" i="3"/>
  <c r="C75" i="3"/>
  <c r="C64" i="3"/>
  <c r="C63" i="3"/>
  <c r="C60" i="3"/>
  <c r="C58" i="3"/>
  <c r="C56" i="3"/>
  <c r="C55" i="3"/>
  <c r="C50" i="3"/>
  <c r="C52" i="3"/>
  <c r="C46" i="3"/>
  <c r="C47" i="3"/>
  <c r="C44" i="3"/>
  <c r="C43" i="3"/>
  <c r="C38" i="3"/>
  <c r="C39" i="3"/>
  <c r="K36" i="2" l="1"/>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F20" i="6"/>
  <c r="K20" i="6" s="1"/>
  <c r="J21" i="6"/>
  <c r="K21" i="6" l="1"/>
  <c r="G21" i="6"/>
  <c r="F21" i="6"/>
  <c r="H30" i="19" s="1"/>
  <c r="H35" i="19" s="1"/>
  <c r="G19" i="5"/>
  <c r="H19" i="5"/>
  <c r="H20" i="5" s="1"/>
  <c r="I19" i="5"/>
  <c r="I20" i="5" s="1"/>
  <c r="G33" i="19" s="1"/>
  <c r="G35" i="19" s="1"/>
  <c r="J19" i="5"/>
  <c r="J20" i="5" s="1"/>
  <c r="K19" i="5" l="1"/>
  <c r="K20" i="5" s="1"/>
  <c r="G20" i="5"/>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C13" i="14" s="1"/>
  <c r="C32" i="3" l="1"/>
  <c r="C31" i="3"/>
  <c r="C30" i="3"/>
  <c r="F19" i="3"/>
  <c r="F18" i="3"/>
  <c r="G19" i="3"/>
  <c r="H18" i="3"/>
  <c r="H22" i="3" s="1"/>
  <c r="I18" i="3"/>
  <c r="J18" i="3"/>
  <c r="J19" i="3"/>
  <c r="G18" i="3"/>
  <c r="H19" i="3"/>
  <c r="I19" i="3"/>
  <c r="I22" i="3" l="1"/>
  <c r="F22" i="3"/>
  <c r="G22" i="3"/>
  <c r="F31" i="19" s="1"/>
  <c r="J22" i="3"/>
  <c r="F34" i="19" s="1"/>
  <c r="N34" i="19" s="1"/>
  <c r="K18" i="3"/>
  <c r="K19" i="3"/>
  <c r="D40" i="19" s="1"/>
  <c r="F30" i="19"/>
  <c r="F33" i="19"/>
  <c r="N33" i="19" s="1"/>
  <c r="I21" i="3"/>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<sst xmlns="http://schemas.openxmlformats.org/spreadsheetml/2006/main" count="760" uniqueCount="343">
  <si>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</si>
  <si>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</si>
  <si>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</si>
  <si>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</si>
  <si>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</si>
  <si>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</si>
  <si>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</si>
  <si>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</si>
  <si>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</si>
  <si>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</si>
  <si>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</si>
  <si>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</si>
  <si>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</si>
  <si>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</si>
  <si>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</si>
  <si>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</si>
  <si>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</si>
  <si>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</si>
  <si>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</si>
  <si>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</si>
  <si>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</si>
  <si>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</si>
  <si>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</si>
  <si>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</si>
  <si>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</si>
  <si>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</si>
  <si>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</si>
  <si>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</si>
  <si>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</si>
  <si>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</si>
  <si>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</si>
  <si>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</si>
  <si>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</si>
  <si>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</si>
  <si>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</si>
  <si>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</si>
  <si>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</si>
  <si>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</si>
  <si>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</si>
  <si>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</si>
  <si>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</si>
  <si>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</si>
  <si>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</si>
  <si>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</si>
  <si>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</si>
  <si>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</si>
  <si>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</si>
  <si>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</si>
  <si>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</si>
  <si>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</si>
  <si>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</si>
  <si>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</si>
  <si>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</si>
  <si>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</si>
  <si>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</si>
  <si>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</si>
  <si>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</si>
  <si>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</si>
  <si>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</si>
  <si>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</si>
  <si>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</si>
  <si>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</si>
  <si>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</si>
  <si>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</si>
  <si>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</si>
  <si>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</si>
  <si>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</si>
  <si>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</si>
  <si>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</si>
  <si>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</si>
  <si>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</si>
  <si>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</si>
  <si>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</si>
  <si>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</si>
  <si>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</si>
  <si>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</si>
  <si>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</si>
  <si>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</si>
  <si>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</si>
  <si>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</si>
  <si>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</si>
  <si>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</si>
  <si>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</si>
  <si>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</si>
  <si>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</si>
  <si>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</si>
  <si>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</si>
  <si>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</si>
  <si>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</si>
  <si>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</si>
  <si>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</si>
  <si>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</si>
  <si>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</si>
  <si>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</si>
  <si>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</si>
  <si>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</si>
  <si>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</si>
  <si>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</si>
  <si>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</si>
  <si>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</si>
  <si>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</si>
  <si>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</si>
  <si>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</si>
  <si>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</si>
  <si>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</si>
  <si>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</si>
  <si>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</si>
  <si>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</si>
  <si>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</si>
  <si>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</si>
  <si>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</si>
  <si>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</si>
  <si>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</si>
  <si>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</si>
  <si>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</si>
  <si>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</si>
  <si>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</si>
  <si>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</si>
  <si>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</si>
  <si>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</si>
  <si>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</si>
  <si>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</si>
  <si>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</si>
  <si>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</si>
  <si>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</si>
  <si>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</si>
  <si>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</si>
  <si>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</si>
  <si>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</si>
  <si>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</si>
  <si>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</si>
  <si>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</si>
  <si>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</si>
  <si>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</si>
  <si>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</si>
  <si>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</si>
  <si>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</si>
  <si>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</si>
  <si>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</si>
  <si>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</si>
  <si>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</si>
  <si>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</si>
  <si>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</si>
  <si>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</si>
  <si>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</si>
  <si>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</si>
  <si>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</si>
  <si>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</si>
  <si>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</si>
  <si>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</si>
  <si>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</si>
  <si>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</si>
  <si>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</si>
  <si>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</si>
  <si>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</si>
  <si>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</si>
  <si>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</si>
  <si>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</si>
  <si>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</si>
  <si>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</si>
  <si>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</si>
  <si>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</si>
  <si>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</si>
  <si>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</si>
  <si>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</si>
  <si>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</si>
  <si>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</si>
  <si>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</si>
  <si>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</si>
  <si>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</si>
  <si>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</si>
  <si>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</si>
  <si>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</si>
  <si>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</si>
  <si>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</si>
  <si>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</si>
  <si>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</si>
  <si>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</si>
  <si>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</si>
  <si>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</si>
  <si>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</si>
  <si>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</si>
  <si>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</si>
  <si>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</si>
  <si>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</si>
  <si>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</si>
  <si>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</si>
  <si>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</si>
  <si>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</si>
  <si>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</si>
  <si>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</si>
  <si>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</si>
  <si>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</si>
  <si>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</si>
  <si>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</si>
  <si>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</si>
  <si>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</si>
  <si>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</si>
  <si>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</si>
  <si>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</si>
  <si>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</si>
  <si>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</si>
  <si>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</si>
  <si>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</si>
  <si>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</si>
  <si>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</si>
  <si>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</si>
  <si>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</si>
  <si>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</si>
  <si>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</si>
  <si>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</si>
  <si>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</si>
  <si>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</si>
  <si>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</si>
  <si>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</si>
  <si>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</si>
  <si>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</si>
  <si>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</si>
  <si>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</si>
  <si>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</si>
  <si>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</si>
  <si>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</si>
  <si>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</si>
  <si>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</si>
  <si>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</si>
  <si>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</si>
  <si>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</si>
  <si>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</si>
  <si>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</si>
  <si>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</si>
  <si>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</si>
  <si>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</si>
  <si>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</si>
  <si>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</si>
  <si>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</si>
  <si>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</si>
  <si>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</si>
  <si>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</si>
  <si>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</si>
  <si>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</si>
  <si>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</si>
  <si>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</si>
  <si>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</si>
  <si>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</si>
  <si>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</si>
  <si>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</si>
  <si>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</si>
  <si>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</si>
  <si>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</si>
  <si>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</si>
  <si>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</si>
  <si>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</si>
  <si>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</si>
  <si>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</si>
  <si>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</si>
  <si>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</si>
  <si>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</si>
  <si>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</si>
  <si>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</si>
  <si>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</si>
  <si>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</si>
  <si>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</si>
  <si>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</si>
  <si>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</si>
  <si>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</si>
  <si>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</si>
  <si>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</si>
  <si>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</si>
  <si>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</si>
  <si>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</si>
  <si>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</si>
  <si>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</si>
  <si>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</si>
  <si>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</si>
  <si>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</si>
  <si>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</si>
  <si>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</si>
  <si>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</si>
  <si>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</si>
  <si>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</si>
  <si>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</si>
  <si>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</si>
  <si>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</si>
  <si>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</si>
  <si>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</si>
  <si>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</si>
  <si>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</si>
  <si>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</si>
  <si>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</si>
  <si>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</si>
  <si>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</si>
  <si>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</si>
  <si>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</si>
  <si>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</si>
  <si>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</si>
  <si>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</si>
  <si>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</si>
  <si>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</si>
  <si>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</si>
  <si>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</si>
  <si>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</si>
  <si>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</si>
  <si>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</si>
  <si>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</si>
  <si>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</si>
  <si>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</si>
  <si>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</si>
  <si>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</si>
  <si>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</si>
  <si>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</si>
  <si>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</si>
  <si>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</si>
  <si>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</si>
  <si>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</si>
  <si>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</si>
  <si>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</si>
  <si>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</si>
  <si>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</si>
  <si>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</si>
  <si>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</si>
  <si>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</si>
  <si>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</si>
  <si>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720 Wood Street</t>
  </si>
  <si>
    <t>Eureka CA</t>
  </si>
  <si>
    <t>Melissa Chilton</t>
  </si>
  <si>
    <t>mchilton@co.humboldt.ca.us</t>
  </si>
  <si>
    <t>707-441-5446</t>
  </si>
  <si>
    <t>ROSE</t>
  </si>
  <si>
    <t>CCT</t>
  </si>
  <si>
    <t>OMS</t>
  </si>
  <si>
    <t>Older &amp; Dependant Adults</t>
  </si>
  <si>
    <t>Hope Center</t>
  </si>
  <si>
    <t>Transitional Age Youth (TAY)</t>
  </si>
  <si>
    <t>Parent Partnership Program</t>
  </si>
  <si>
    <t>Multi-Tiered Support Structure</t>
  </si>
  <si>
    <t>Rapid re-Housing</t>
  </si>
  <si>
    <t>MIST</t>
  </si>
  <si>
    <t>ICAIS</t>
  </si>
  <si>
    <t>Comprehensive Community Treatment (CCT)</t>
  </si>
  <si>
    <t>Rural Outreach Services Enterprise (ROSE)</t>
  </si>
  <si>
    <t>MHSA Telemedicine</t>
  </si>
  <si>
    <t>Older and Dependent Adults Expansion</t>
  </si>
  <si>
    <t>Budget Specialist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</si>
</sst>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58"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s>
  <fills count="3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xf numFmtId="0" fontId="44" fillId="0" borderId="0" applyNumberFormat="0" applyFill="0" applyBorder="0" applyAlignment="0" applyProtection="0"/>
    <xf numFmtId="0" fontId="45" fillId="0" borderId="40" applyNumberFormat="0" applyFill="0" applyAlignment="0" applyProtection="0"/>
    <xf numFmtId="0" fontId="46" fillId="0" borderId="41" applyNumberFormat="0" applyFill="0" applyAlignment="0" applyProtection="0"/>
    <xf numFmtId="0" fontId="47" fillId="0" borderId="42" applyNumberFormat="0" applyFill="0" applyAlignment="0" applyProtection="0"/>
    <xf numFmtId="0" fontId="47" fillId="0" borderId="0" applyNumberFormat="0" applyFill="0" applyBorder="0" applyAlignment="0" applyProtection="0"/>
    <xf numFmtId="0" fontId="48" fillId="7" borderId="0" applyNumberFormat="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0" borderId="43" applyNumberFormat="0" applyAlignment="0" applyProtection="0"/>
    <xf numFmtId="0" fontId="52" fillId="11" borderId="44" applyNumberFormat="0" applyAlignment="0" applyProtection="0"/>
    <xf numFmtId="0" fontId="53" fillId="11" borderId="43" applyNumberFormat="0" applyAlignment="0" applyProtection="0"/>
    <xf numFmtId="0" fontId="54" fillId="0" borderId="45" applyNumberFormat="0" applyFill="0" applyAlignment="0" applyProtection="0"/>
    <xf numFmtId="0" fontId="55" fillId="12" borderId="46" applyNumberFormat="0" applyAlignment="0" applyProtection="0"/>
    <xf numFmtId="0" fontId="43" fillId="0" borderId="0" applyNumberFormat="0" applyFill="0" applyBorder="0" applyAlignment="0" applyProtection="0"/>
    <xf numFmtId="0" fontId="18" fillId="13" borderId="47" applyNumberFormat="0" applyFont="0" applyAlignment="0" applyProtection="0"/>
    <xf numFmtId="0" fontId="56" fillId="0" borderId="0" applyNumberFormat="0" applyFill="0" applyBorder="0" applyAlignment="0" applyProtection="0"/>
    <xf numFmtId="0" fontId="57" fillId="0" borderId="48" applyNumberFormat="0" applyFill="0" applyAlignment="0" applyProtection="0"/>
    <xf numFmtId="0" fontId="41"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41" fillId="37" borderId="0" applyNumberFormat="0" applyBorder="0" applyAlignment="0" applyProtection="0"/>
  </cellStyleXfs>
  <cellXfs count="471">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0" fillId="0" borderId="0" xfId="0" applyBorder="1" applyProtection="1">
      <protection locked="0"/>
    </xf>
    <xf numFmtId="9" fontId="1" fillId="0" borderId="19" xfId="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urrency" xfId="7" builtinId="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4" builtinId="8"/>
    <cellStyle name="Input" xfId="16" builtinId="20" customBuiltin="1"/>
    <cellStyle name="Linked Cell" xfId="19" builtinId="24" customBuiltin="1"/>
    <cellStyle name="Neutral" xfId="15" builtinId="28" customBuiltin="1"/>
    <cellStyle name="Normal" xfId="0" builtinId="0"/>
    <cellStyle name="Normal 2" xfId="2"/>
    <cellStyle name="Normal 2 2" xfId="5"/>
    <cellStyle name="Normal 3" xfId="3"/>
    <cellStyle name="Normal 6" xfId="6"/>
    <cellStyle name="Note" xfId="22" builtinId="10" customBuiltin="1"/>
    <cellStyle name="Output" xfId="17" builtinId="21" customBuiltin="1"/>
    <cellStyle name="Percent" xfId="1" builtinId="5"/>
    <cellStyle name="Title" xfId="8" builtinId="15" customBuiltin="1"/>
    <cellStyle name="Total" xfId="24" builtinId="25" customBuiltin="1"/>
    <cellStyle name="Warning Text" xfId="21"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6" x14ac:dyDescent="0.3">
      <c r="A1" s="52" t="s">
        <v>270</v>
      </c>
    </row>
    <row r="2" spans="1:6" x14ac:dyDescent="0.25">
      <c r="A2" s="238" t="s">
        <v>273</v>
      </c>
    </row>
    <row r="3" spans="1:6" x14ac:dyDescent="0.25">
      <c r="A3" s="237" t="s">
        <v>271</v>
      </c>
    </row>
    <row r="16" spans="1:6" x14ac:dyDescent="0.25">
      <c r="F16" s="240"/>
    </row>
    <row r="26" spans="5:6" x14ac:dyDescent="0.25">
      <c r="E26" s="241"/>
    </row>
    <row r="28" spans="5:6" x14ac:dyDescent="0.25">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9"/>
      <c r="C1" s="459"/>
      <c r="D1" s="459"/>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2" t="s">
        <v>1</v>
      </c>
      <c r="C7" s="432"/>
      <c r="D7" s="9" t="str">
        <f>IF(ISBLANK('1. Information'!D8),"",'1. Information'!D8)</f>
        <v>Humboldt</v>
      </c>
      <c r="F7" s="94" t="s">
        <v>2</v>
      </c>
      <c r="G7" s="109">
        <f>IF(ISBLANK('1. Information'!D7),"",'1. Information'!D7)</f>
        <v>43460</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8" t="s">
        <v>30</v>
      </c>
      <c r="G12" s="458"/>
      <c r="H12" s="458"/>
      <c r="I12" s="458"/>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2" t="s">
        <v>1</v>
      </c>
      <c r="C7" s="432"/>
      <c r="D7" s="9" t="str">
        <f>IF(ISBLANK('1. Information'!D8),"",'1. Information'!D8)</f>
        <v>Humboldt</v>
      </c>
      <c r="E7" s="3"/>
      <c r="F7" s="97" t="s">
        <v>178</v>
      </c>
      <c r="G7" s="109">
        <f>IF(ISBLANK('1. Information'!D7),"",'1. Information'!D7)</f>
        <v>43460</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ht="14.45" customHeight="1"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9"/>
      <c r="C1" s="459"/>
      <c r="D1" s="459"/>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2" t="s">
        <v>1</v>
      </c>
      <c r="C7" s="432"/>
      <c r="D7" s="9" t="str">
        <f>IF(ISBLANK('1. Information'!D8),"",'1. Information'!D8)</f>
        <v>Humboldt</v>
      </c>
      <c r="F7" s="94" t="s">
        <v>2</v>
      </c>
      <c r="G7" s="38">
        <f>IF(ISBLANK('1. Information'!D7),"",'1. Information'!D7)</f>
        <v>43460</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7" t="s">
        <v>169</v>
      </c>
      <c r="B1" s="468"/>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0" t="s">
        <v>198</v>
      </c>
      <c r="B2" s="470"/>
      <c r="C2" s="470"/>
      <c r="D2" s="470"/>
      <c r="E2" s="470"/>
    </row>
    <row r="3" spans="1:7" ht="14.25" customHeight="1" x14ac:dyDescent="0.25">
      <c r="A3" s="470" t="s">
        <v>307</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topLeftCell="A10" zoomScale="70" zoomScaleNormal="70" zoomScaleSheetLayoutView="70" workbookViewId="0">
      <selection activeCell="C19" sqref="C19"/>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5"/>
    <row r="2" spans="1:7" x14ac:dyDescent="0.25">
      <c r="A2" s="2"/>
      <c r="B2" s="391" t="str">
        <f>'1. Information'!B2</f>
        <v>Version 7/1/2018</v>
      </c>
      <c r="C2" s="2"/>
    </row>
    <row r="3" spans="1:7" ht="21" customHeight="1" x14ac:dyDescent="0.25">
      <c r="A3" s="2"/>
      <c r="B3" s="53" t="str">
        <f>'1. Information'!B3</f>
        <v>Annual Mental Health Services Act Revenue and Expenditure Report</v>
      </c>
      <c r="C3" s="2"/>
    </row>
    <row r="4" spans="1:7" ht="17.45" x14ac:dyDescent="0.3">
      <c r="A4" s="2"/>
      <c r="B4" s="54" t="str">
        <f>'1. Information'!B4</f>
        <v>Fiscal Year 2017-18</v>
      </c>
      <c r="C4" s="2"/>
    </row>
    <row r="5" spans="1:7" ht="17.45" x14ac:dyDescent="0.25">
      <c r="B5" s="242" t="s">
        <v>282</v>
      </c>
    </row>
    <row r="6" spans="1:7" ht="15.6" x14ac:dyDescent="0.3">
      <c r="B6" s="52"/>
    </row>
    <row r="7" spans="1:7" ht="39.950000000000003" customHeight="1" x14ac:dyDescent="0.2">
      <c r="B7" s="428" t="s">
        <v>280</v>
      </c>
      <c r="C7" s="426"/>
      <c r="F7" s="224"/>
    </row>
    <row r="8" spans="1:7" ht="55.5" customHeight="1" x14ac:dyDescent="0.2">
      <c r="B8" s="429" t="s">
        <v>281</v>
      </c>
      <c r="C8" s="430"/>
      <c r="F8" s="222"/>
      <c r="G8" s="224"/>
    </row>
    <row r="9" spans="1:7" ht="39.950000000000003" customHeight="1" x14ac:dyDescent="0.2">
      <c r="B9" s="429" t="s">
        <v>279</v>
      </c>
      <c r="C9" s="430"/>
      <c r="E9" s="222"/>
      <c r="F9" s="223"/>
    </row>
    <row r="10" spans="1:7" ht="39.950000000000003" customHeight="1" x14ac:dyDescent="0.2">
      <c r="B10" s="430" t="s">
        <v>264</v>
      </c>
      <c r="C10" s="430"/>
      <c r="D10" s="221"/>
    </row>
    <row r="11" spans="1:7" x14ac:dyDescent="0.25"/>
    <row r="12" spans="1:7" ht="29.25" customHeight="1" x14ac:dyDescent="0.2">
      <c r="B12" s="426" t="s">
        <v>266</v>
      </c>
      <c r="C12" s="427" t="s">
        <v>272</v>
      </c>
    </row>
    <row r="13" spans="1:7" ht="18" customHeight="1" x14ac:dyDescent="0.2">
      <c r="B13" s="426"/>
      <c r="C13" s="426"/>
    </row>
    <row r="14" spans="1:7" ht="60.75" customHeight="1" x14ac:dyDescent="0.2">
      <c r="B14" s="423" t="s">
        <v>267</v>
      </c>
      <c r="C14" s="381" t="s">
        <v>311</v>
      </c>
    </row>
    <row r="15" spans="1:7" ht="68.25" customHeight="1" x14ac:dyDescent="0.2">
      <c r="B15" s="424"/>
      <c r="C15" s="382" t="s">
        <v>321</v>
      </c>
    </row>
    <row r="16" spans="1:7" ht="66" customHeight="1" x14ac:dyDescent="0.2">
      <c r="B16" s="425"/>
      <c r="C16" s="381" t="s">
        <v>305</v>
      </c>
    </row>
    <row r="17" spans="2:3" ht="53.25" customHeight="1" x14ac:dyDescent="0.25">
      <c r="B17" s="377" t="s">
        <v>268</v>
      </c>
      <c r="C17" s="377" t="s">
        <v>265</v>
      </c>
    </row>
    <row r="18" spans="2:3" ht="54" customHeight="1" x14ac:dyDescent="0.25">
      <c r="B18" s="377" t="s">
        <v>269</v>
      </c>
      <c r="C18" s="378" t="s">
        <v>320</v>
      </c>
    </row>
    <row r="19" spans="2:3" ht="50.25" customHeight="1" x14ac:dyDescent="0.25">
      <c r="B19" s="237"/>
    </row>
    <row r="20" spans="2:3" x14ac:dyDescent="0.25"/>
    <row r="21" spans="2:3" x14ac:dyDescent="0.25"/>
    <row r="22" spans="2:3" x14ac:dyDescent="0.25"/>
    <row r="23" spans="2:3" x14ac:dyDescent="0.25"/>
    <row r="24" spans="2:3" x14ac:dyDescent="0.25"/>
    <row r="25" spans="2:3" x14ac:dyDescent="0.25"/>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topLeftCell="A3" zoomScale="80" zoomScaleNormal="80" workbookViewId="0">
      <selection activeCell="D16" sqref="D16"/>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5"/>
    <row r="2" spans="1:5" ht="15.6" x14ac:dyDescent="0.25">
      <c r="A2" s="99"/>
      <c r="B2" s="391" t="s">
        <v>310</v>
      </c>
      <c r="C2" s="1"/>
      <c r="D2" s="1"/>
    </row>
    <row r="3" spans="1:5" ht="17.45" x14ac:dyDescent="0.25">
      <c r="A3" s="99"/>
      <c r="B3" s="227" t="s">
        <v>259</v>
      </c>
      <c r="C3" s="1"/>
      <c r="D3" s="1"/>
    </row>
    <row r="4" spans="1:5" ht="17.45" x14ac:dyDescent="0.25">
      <c r="A4" s="99"/>
      <c r="B4" s="227" t="s">
        <v>276</v>
      </c>
      <c r="C4" s="1"/>
      <c r="D4" s="1"/>
    </row>
    <row r="5" spans="1:5" ht="17.45" x14ac:dyDescent="0.25">
      <c r="A5" s="99"/>
      <c r="B5" s="227" t="s">
        <v>241</v>
      </c>
      <c r="C5" s="1"/>
      <c r="D5" s="1"/>
      <c r="E5" s="165"/>
    </row>
    <row r="6" spans="1:5" x14ac:dyDescent="0.25">
      <c r="A6" s="99"/>
      <c r="B6" s="99"/>
      <c r="C6" s="99"/>
      <c r="D6" s="322"/>
    </row>
    <row r="7" spans="1:5" ht="34.5" customHeight="1" x14ac:dyDescent="0.25">
      <c r="A7" s="99"/>
      <c r="B7" s="130">
        <v>1</v>
      </c>
      <c r="C7" s="102" t="s">
        <v>2</v>
      </c>
      <c r="D7" s="243">
        <v>43460</v>
      </c>
    </row>
    <row r="8" spans="1:5" ht="34.5" customHeight="1" x14ac:dyDescent="0.25">
      <c r="A8" s="99"/>
      <c r="B8" s="130">
        <v>2</v>
      </c>
      <c r="C8" s="102" t="s">
        <v>1</v>
      </c>
      <c r="D8" s="365" t="s">
        <v>54</v>
      </c>
    </row>
    <row r="9" spans="1:5" ht="34.5" customHeight="1" x14ac:dyDescent="0.25">
      <c r="A9" s="99"/>
      <c r="B9" s="130">
        <v>3</v>
      </c>
      <c r="C9" s="103" t="s">
        <v>125</v>
      </c>
      <c r="D9" s="104">
        <f>IF(ISBLANK(D8),"",VLOOKUP(D8,Info_County_Code,2))</f>
        <v>12</v>
      </c>
    </row>
    <row r="10" spans="1:5" ht="34.5" customHeight="1" x14ac:dyDescent="0.25">
      <c r="A10" s="99"/>
      <c r="B10" s="130">
        <v>4</v>
      </c>
      <c r="C10" s="102" t="s">
        <v>126</v>
      </c>
      <c r="D10" s="418" t="s">
        <v>322</v>
      </c>
    </row>
    <row r="11" spans="1:5" ht="34.5" customHeight="1" x14ac:dyDescent="0.25">
      <c r="A11" s="99"/>
      <c r="B11" s="130">
        <v>5</v>
      </c>
      <c r="C11" s="102" t="s">
        <v>127</v>
      </c>
      <c r="D11" s="365" t="s">
        <v>323</v>
      </c>
    </row>
    <row r="12" spans="1:5" ht="34.5" customHeight="1" x14ac:dyDescent="0.25">
      <c r="A12" s="99"/>
      <c r="B12" s="130">
        <v>6</v>
      </c>
      <c r="C12" s="102" t="s">
        <v>128</v>
      </c>
      <c r="D12" s="244">
        <v>95501</v>
      </c>
    </row>
    <row r="13" spans="1:5" ht="34.5" customHeight="1" x14ac:dyDescent="0.25">
      <c r="A13" s="99"/>
      <c r="B13" s="130">
        <v>7</v>
      </c>
      <c r="C13" s="105" t="s">
        <v>185</v>
      </c>
      <c r="D13" s="106" t="str">
        <f>IF(ISBLANK(D8),"",VLOOKUP(D8,County_Population,5,FALSE))</f>
        <v>No</v>
      </c>
    </row>
    <row r="14" spans="1:5" ht="34.5" customHeight="1" x14ac:dyDescent="0.25">
      <c r="A14" s="99"/>
      <c r="B14" s="130">
        <v>8</v>
      </c>
      <c r="C14" s="102" t="s">
        <v>124</v>
      </c>
      <c r="D14" s="365" t="s">
        <v>324</v>
      </c>
    </row>
    <row r="15" spans="1:5" ht="34.5" customHeight="1" x14ac:dyDescent="0.25">
      <c r="A15" s="99"/>
      <c r="B15" s="130">
        <v>9</v>
      </c>
      <c r="C15" s="383" t="s">
        <v>193</v>
      </c>
      <c r="D15" s="419" t="s">
        <v>342</v>
      </c>
    </row>
    <row r="16" spans="1:5" ht="34.5" customHeight="1" x14ac:dyDescent="0.25">
      <c r="A16" s="99"/>
      <c r="B16" s="130">
        <v>10</v>
      </c>
      <c r="C16" s="383" t="s">
        <v>211</v>
      </c>
      <c r="D16" s="419" t="s">
        <v>325</v>
      </c>
    </row>
    <row r="17" spans="1:4" ht="34.5" customHeight="1" x14ac:dyDescent="0.25">
      <c r="A17" s="99"/>
      <c r="B17" s="130">
        <v>11</v>
      </c>
      <c r="C17" s="102" t="s">
        <v>194</v>
      </c>
      <c r="D17" s="420" t="s">
        <v>326</v>
      </c>
    </row>
    <row r="18" spans="1:4" x14ac:dyDescent="0.25"/>
    <row r="19" spans="1:4" x14ac:dyDescent="0.25"/>
    <row r="20" spans="1:4" x14ac:dyDescent="0.25"/>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67" zoomScaleNormal="67" zoomScaleSheetLayoutView="40" workbookViewId="0">
      <pane xSplit="3" ySplit="20" topLeftCell="D21" activePane="bottomRight" state="frozen"/>
      <selection pane="topRight" activeCell="D1" sqref="D1"/>
      <selection pane="bottomLeft" activeCell="A16" sqref="A16"/>
      <selection pane="bottomRight" activeCell="G7" sqref="G7"/>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Humboldt</v>
      </c>
      <c r="F7" s="360" t="s">
        <v>2</v>
      </c>
      <c r="G7" s="259">
        <f>IF(ISBLANK('1. Information'!D7),"",'1. Information'!D7)</f>
        <v>43460</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96648.36</v>
      </c>
      <c r="E15" s="260"/>
      <c r="F15" s="260"/>
      <c r="G15" s="90"/>
      <c r="H15" s="260"/>
      <c r="I15" s="260"/>
      <c r="J15" s="260"/>
      <c r="K15" s="260"/>
      <c r="L15" s="260"/>
      <c r="M15" s="260"/>
      <c r="N15" s="260"/>
    </row>
    <row r="16" spans="2:14" x14ac:dyDescent="0.25">
      <c r="B16" s="24">
        <v>2</v>
      </c>
      <c r="C16" s="332" t="s">
        <v>306</v>
      </c>
      <c r="D16" s="394">
        <f>1144479+78877-9466.3</f>
        <v>1213889.7</v>
      </c>
      <c r="E16" s="260"/>
      <c r="F16" s="260"/>
      <c r="G16" s="90"/>
      <c r="H16" s="260"/>
      <c r="I16" s="260"/>
      <c r="J16" s="260"/>
      <c r="K16" s="260"/>
      <c r="L16" s="260"/>
      <c r="M16" s="260"/>
      <c r="N16" s="260"/>
    </row>
    <row r="17" spans="2:14" x14ac:dyDescent="0.25">
      <c r="B17" s="24">
        <v>3</v>
      </c>
      <c r="C17" s="332" t="s">
        <v>312</v>
      </c>
      <c r="D17" s="91">
        <f>D16+M22+M27+SUM('9. Adjustment (MHSA)'!F83:F112)</f>
        <v>1428507.7</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73452.753599999996</v>
      </c>
      <c r="E23" s="380">
        <f>D15*0.19</f>
        <v>18363.188399999999</v>
      </c>
      <c r="F23" s="261">
        <f>D15*0.05</f>
        <v>4832.4180000000006</v>
      </c>
      <c r="G23" s="327"/>
      <c r="H23" s="327"/>
      <c r="I23" s="327"/>
      <c r="J23" s="334"/>
      <c r="K23" s="327"/>
      <c r="L23" s="327"/>
      <c r="M23" s="327"/>
      <c r="N23" s="333">
        <f>SUM(D23:M23)</f>
        <v>96648.36</v>
      </c>
    </row>
    <row r="24" spans="2:14" ht="24" customHeight="1" x14ac:dyDescent="0.25">
      <c r="B24" s="24">
        <v>6</v>
      </c>
      <c r="C24" s="266" t="s">
        <v>25</v>
      </c>
      <c r="D24" s="339">
        <f t="shared" ref="D24:L24" si="0">SUM(D22:D23)</f>
        <v>73452.753599999996</v>
      </c>
      <c r="E24" s="339">
        <f t="shared" si="0"/>
        <v>18363.188399999999</v>
      </c>
      <c r="F24" s="339">
        <f t="shared" si="0"/>
        <v>4832.4180000000006</v>
      </c>
      <c r="G24" s="339">
        <f t="shared" si="0"/>
        <v>0</v>
      </c>
      <c r="H24" s="339">
        <f t="shared" si="0"/>
        <v>0</v>
      </c>
      <c r="I24" s="339">
        <f t="shared" si="0"/>
        <v>0</v>
      </c>
      <c r="J24" s="339">
        <f t="shared" si="0"/>
        <v>0</v>
      </c>
      <c r="K24" s="339">
        <f t="shared" si="0"/>
        <v>0</v>
      </c>
      <c r="L24" s="339">
        <f t="shared" si="0"/>
        <v>0</v>
      </c>
      <c r="M24" s="339">
        <v>0</v>
      </c>
      <c r="N24" s="371">
        <f>SUM(D24:M24)</f>
        <v>96648.36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-214618</v>
      </c>
      <c r="E27" s="334"/>
      <c r="F27" s="334"/>
      <c r="G27" s="264">
        <f>'3. CSS'!F20</f>
        <v>0</v>
      </c>
      <c r="H27" s="264">
        <f>'3. CSS'!F21</f>
        <v>0</v>
      </c>
      <c r="I27" s="334"/>
      <c r="J27" s="334"/>
      <c r="K27" s="334"/>
      <c r="L27" s="334"/>
      <c r="M27" s="264">
        <f>'3. CSS'!F22</f>
        <v>214618</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5208805.0005280003</v>
      </c>
      <c r="E30" s="264">
        <f>'4. PEI'!F21</f>
        <v>1584208.82</v>
      </c>
      <c r="F30" s="264">
        <f>'5. INN'!F22</f>
        <v>458080.93</v>
      </c>
      <c r="G30" s="264">
        <f>'6. WET'!F20</f>
        <v>21807</v>
      </c>
      <c r="H30" s="264">
        <f>'7. CFTN'!F21</f>
        <v>0</v>
      </c>
      <c r="I30" s="334"/>
      <c r="J30" s="264">
        <f>'8. WET RP, HP'!E14</f>
        <v>0</v>
      </c>
      <c r="K30" s="264">
        <f>'4. PEI'!F17</f>
        <v>11109</v>
      </c>
      <c r="L30" s="264">
        <f>'8. WET RP, HP'!E15</f>
        <v>0</v>
      </c>
      <c r="M30" s="334"/>
      <c r="N30" s="264">
        <f t="shared" ref="N30:N35" si="1">SUM(D30:M30)</f>
        <v>7284010.7505280003</v>
      </c>
    </row>
    <row r="31" spans="2:14" ht="24" customHeight="1" x14ac:dyDescent="0.25">
      <c r="B31" s="24">
        <v>9</v>
      </c>
      <c r="C31" s="262" t="s">
        <v>5</v>
      </c>
      <c r="D31" s="261">
        <f>'3. CSS'!G25</f>
        <v>3262306.6894720001</v>
      </c>
      <c r="E31" s="261">
        <f>'4. PEI'!G21</f>
        <v>0</v>
      </c>
      <c r="F31" s="261">
        <f>'5. INN'!G22</f>
        <v>117922</v>
      </c>
      <c r="G31" s="261">
        <f>'6. WET'!G20</f>
        <v>0</v>
      </c>
      <c r="H31" s="261">
        <f>'7. CFTN'!G21</f>
        <v>0</v>
      </c>
      <c r="I31" s="7"/>
      <c r="J31" s="261">
        <f>'8. WET RP, HP'!F14</f>
        <v>0</v>
      </c>
      <c r="K31" s="261">
        <f>'4. PEI'!G17</f>
        <v>0</v>
      </c>
      <c r="L31" s="261">
        <f>'8. WET RP, HP'!F15</f>
        <v>0</v>
      </c>
      <c r="M31" s="327"/>
      <c r="N31" s="264">
        <f t="shared" si="1"/>
        <v>3380228.6894720001</v>
      </c>
    </row>
    <row r="32" spans="2:14" ht="24" customHeight="1" x14ac:dyDescent="0.25">
      <c r="B32" s="24">
        <v>10</v>
      </c>
      <c r="C32" s="262" t="s">
        <v>6</v>
      </c>
      <c r="D32" s="261">
        <f>'3. CSS'!H25</f>
        <v>0</v>
      </c>
      <c r="E32" s="261">
        <f>'4. PEI'!H21</f>
        <v>0</v>
      </c>
      <c r="F32" s="261">
        <f>'5. INN'!H22</f>
        <v>114808</v>
      </c>
      <c r="G32" s="261">
        <f>'6. WET'!H20</f>
        <v>0</v>
      </c>
      <c r="H32" s="261">
        <f>'7. CFTN'!H21</f>
        <v>150347</v>
      </c>
      <c r="I32" s="7"/>
      <c r="J32" s="261">
        <f>'8. WET RP, HP'!G14</f>
        <v>0</v>
      </c>
      <c r="K32" s="261">
        <f>'4. PEI'!H17</f>
        <v>0</v>
      </c>
      <c r="L32" s="261">
        <f>'8. WET RP, HP'!G15</f>
        <v>0</v>
      </c>
      <c r="M32" s="327"/>
      <c r="N32" s="264">
        <f t="shared" si="1"/>
        <v>265155</v>
      </c>
    </row>
    <row r="33" spans="2:14" ht="24" customHeight="1" x14ac:dyDescent="0.25">
      <c r="B33" s="24">
        <v>11</v>
      </c>
      <c r="C33" s="262" t="s">
        <v>31</v>
      </c>
      <c r="D33" s="261">
        <f>'3. CSS'!I25</f>
        <v>0</v>
      </c>
      <c r="E33" s="261">
        <f>'4. PEI'!I21</f>
        <v>0</v>
      </c>
      <c r="F33" s="261">
        <f>'5. INN'!I22</f>
        <v>0</v>
      </c>
      <c r="G33" s="261">
        <f>'6. WET'!I20</f>
        <v>58724</v>
      </c>
      <c r="H33" s="261">
        <f>'7. CFTN'!I21</f>
        <v>0</v>
      </c>
      <c r="I33" s="7"/>
      <c r="J33" s="261">
        <f>'8. WET RP, HP'!H14</f>
        <v>0</v>
      </c>
      <c r="K33" s="261">
        <f>'4. PEI'!I17</f>
        <v>0</v>
      </c>
      <c r="L33" s="261">
        <f>'8. WET RP, HP'!H15</f>
        <v>0</v>
      </c>
      <c r="M33" s="327"/>
      <c r="N33" s="264">
        <f t="shared" si="1"/>
        <v>58724</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8471111.6900000013</v>
      </c>
      <c r="E35" s="267">
        <f t="shared" ref="E35:L35" si="2">SUM(E30:E34)</f>
        <v>1584208.82</v>
      </c>
      <c r="F35" s="267">
        <f t="shared" si="2"/>
        <v>690810.92999999993</v>
      </c>
      <c r="G35" s="267">
        <f t="shared" si="2"/>
        <v>80531</v>
      </c>
      <c r="H35" s="267">
        <f t="shared" si="2"/>
        <v>150347</v>
      </c>
      <c r="I35" s="267">
        <f t="shared" si="2"/>
        <v>0</v>
      </c>
      <c r="J35" s="267">
        <f t="shared" si="2"/>
        <v>0</v>
      </c>
      <c r="K35" s="267">
        <f t="shared" si="2"/>
        <v>11109</v>
      </c>
      <c r="L35" s="267">
        <f t="shared" si="2"/>
        <v>0</v>
      </c>
      <c r="M35" s="7"/>
      <c r="N35" s="339">
        <f t="shared" si="1"/>
        <v>10988118.440000001</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99331.31</v>
      </c>
      <c r="F39" s="90"/>
      <c r="G39" s="260"/>
      <c r="H39" s="260"/>
      <c r="I39" s="260"/>
      <c r="J39" s="260"/>
      <c r="K39" s="260"/>
      <c r="L39" s="260"/>
      <c r="M39" s="260"/>
      <c r="N39" s="347"/>
    </row>
    <row r="40" spans="2:14" x14ac:dyDescent="0.25">
      <c r="B40" s="24">
        <v>15</v>
      </c>
      <c r="C40" s="358" t="s">
        <v>23</v>
      </c>
      <c r="D40" s="366">
        <f>'3. CSS'!K15+'4. PEI'!K15+'5. INN'!K19+'6. WET'!K15+'7. CFTN'!K16+'7. CFTN'!K17</f>
        <v>41407.94</v>
      </c>
      <c r="E40" s="263"/>
      <c r="F40" s="260"/>
      <c r="G40" s="260"/>
      <c r="H40" s="260"/>
      <c r="I40" s="260"/>
      <c r="J40" s="260"/>
      <c r="K40" s="260"/>
      <c r="L40" s="260"/>
      <c r="M40" s="260"/>
      <c r="N40" s="347"/>
    </row>
    <row r="41" spans="2:14" x14ac:dyDescent="0.25">
      <c r="B41" s="24">
        <v>16</v>
      </c>
      <c r="C41" s="358" t="s">
        <v>24</v>
      </c>
      <c r="D41" s="366">
        <f>'3. CSS'!K16+'4. PEI'!K16+'5. INN'!K15+'5. INN'!K18+'6. WET'!K16+'7. CFTN'!K18+'7. CFTN'!K19</f>
        <v>146331.38</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19" zoomScale="70" zoomScaleNormal="70" zoomScaleSheetLayoutView="40" zoomScalePageLayoutView="70" workbookViewId="0">
      <selection activeCell="D33" sqref="D33"/>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1"/>
      <c r="C1" s="431"/>
      <c r="D1" s="431"/>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2" t="s">
        <v>1</v>
      </c>
      <c r="C7" s="432"/>
      <c r="D7" s="9" t="str">
        <f>IF(ISBLANK('1. Information'!D8),"",'1. Information'!D8)</f>
        <v>Humboldt</v>
      </c>
      <c r="E7" s="281"/>
      <c r="F7" s="279" t="s">
        <v>2</v>
      </c>
      <c r="G7" s="282">
        <f>IF(ISBLANK('1. Information'!D7),"",'1. Information'!D7)</f>
        <v>43460</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2" t="s">
        <v>30</v>
      </c>
      <c r="H12" s="440"/>
      <c r="I12" s="440"/>
      <c r="J12" s="443"/>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3" t="s">
        <v>7</v>
      </c>
      <c r="D14" s="433"/>
      <c r="E14" s="433"/>
      <c r="F14" s="367">
        <f>57131.08-G14</f>
        <v>23492.300095999999</v>
      </c>
      <c r="G14" s="368">
        <f>57131.08*0.5888</f>
        <v>33638.779904000003</v>
      </c>
      <c r="H14" s="353"/>
      <c r="I14" s="290"/>
      <c r="J14" s="290"/>
      <c r="K14" s="292">
        <f>SUM(F14:J14)</f>
        <v>57131.08</v>
      </c>
      <c r="L14"/>
    </row>
    <row r="15" spans="1:12" ht="15" customHeight="1" x14ac:dyDescent="0.25">
      <c r="A15" s="281"/>
      <c r="B15" s="277">
        <v>2</v>
      </c>
      <c r="C15" s="433" t="s">
        <v>8</v>
      </c>
      <c r="D15" s="433"/>
      <c r="E15" s="433"/>
      <c r="F15" s="367">
        <f>23816.06-G15</f>
        <v>9793.163872000001</v>
      </c>
      <c r="G15" s="368">
        <f>23816.06*0.5888</f>
        <v>14022.896128</v>
      </c>
      <c r="H15" s="290"/>
      <c r="I15" s="290"/>
      <c r="J15" s="290"/>
      <c r="K15" s="292">
        <f t="shared" ref="K15:K23" si="0">SUM(F15:J15)</f>
        <v>23816.06</v>
      </c>
      <c r="L15"/>
    </row>
    <row r="16" spans="1:12" x14ac:dyDescent="0.25">
      <c r="A16" s="281"/>
      <c r="B16" s="277">
        <v>3</v>
      </c>
      <c r="C16" s="433" t="s">
        <v>129</v>
      </c>
      <c r="D16" s="433"/>
      <c r="E16" s="433"/>
      <c r="F16" s="367">
        <f>31742.55-G16</f>
        <v>13052.53656</v>
      </c>
      <c r="G16" s="368">
        <f>31742.55*0.5888</f>
        <v>18690.013439999999</v>
      </c>
      <c r="H16" s="290"/>
      <c r="I16" s="290"/>
      <c r="J16" s="290"/>
      <c r="K16" s="292">
        <f t="shared" si="0"/>
        <v>31742.55</v>
      </c>
      <c r="L16"/>
    </row>
    <row r="17" spans="1:12" x14ac:dyDescent="0.25">
      <c r="A17" s="281"/>
      <c r="B17" s="277">
        <v>4</v>
      </c>
      <c r="C17" s="447" t="s">
        <v>218</v>
      </c>
      <c r="D17" s="447"/>
      <c r="E17" s="447"/>
      <c r="F17" s="367"/>
      <c r="G17" s="368"/>
      <c r="H17" s="290"/>
      <c r="I17" s="290"/>
      <c r="J17" s="290"/>
      <c r="K17" s="292">
        <f t="shared" si="0"/>
        <v>0</v>
      </c>
      <c r="L17"/>
    </row>
    <row r="18" spans="1:12" x14ac:dyDescent="0.25">
      <c r="A18" s="281"/>
      <c r="B18" s="277">
        <v>5</v>
      </c>
      <c r="C18" s="447" t="s">
        <v>219</v>
      </c>
      <c r="D18" s="447"/>
      <c r="E18" s="447"/>
      <c r="F18" s="367"/>
      <c r="G18" s="294"/>
      <c r="H18" s="294"/>
      <c r="I18" s="294"/>
      <c r="J18" s="294"/>
      <c r="K18" s="292">
        <f t="shared" si="0"/>
        <v>0</v>
      </c>
      <c r="L18"/>
    </row>
    <row r="19" spans="1:12" x14ac:dyDescent="0.25">
      <c r="A19" s="281"/>
      <c r="B19" s="277">
        <v>6</v>
      </c>
      <c r="C19" s="433" t="s">
        <v>216</v>
      </c>
      <c r="D19" s="433"/>
      <c r="E19" s="433"/>
      <c r="F19" s="290"/>
      <c r="G19" s="294"/>
      <c r="H19" s="294"/>
      <c r="I19" s="294"/>
      <c r="J19" s="294"/>
      <c r="K19" s="293">
        <f t="shared" si="0"/>
        <v>0</v>
      </c>
      <c r="L19"/>
    </row>
    <row r="20" spans="1:12" x14ac:dyDescent="0.25">
      <c r="A20" s="283"/>
      <c r="B20" s="256">
        <v>7</v>
      </c>
      <c r="C20" s="444" t="s">
        <v>226</v>
      </c>
      <c r="D20" s="445"/>
      <c r="E20" s="446"/>
      <c r="F20" s="290"/>
      <c r="G20" s="293"/>
      <c r="H20" s="293"/>
      <c r="I20" s="293"/>
      <c r="J20" s="293"/>
      <c r="K20" s="293">
        <f t="shared" si="0"/>
        <v>0</v>
      </c>
      <c r="L20"/>
    </row>
    <row r="21" spans="1:12" x14ac:dyDescent="0.25">
      <c r="A21" s="283"/>
      <c r="B21" s="256">
        <v>8</v>
      </c>
      <c r="C21" s="444" t="s">
        <v>227</v>
      </c>
      <c r="D21" s="445"/>
      <c r="E21" s="446"/>
      <c r="F21" s="290"/>
      <c r="G21" s="293"/>
      <c r="H21" s="293"/>
      <c r="I21" s="293"/>
      <c r="J21" s="293"/>
      <c r="K21" s="293">
        <f t="shared" si="0"/>
        <v>0</v>
      </c>
      <c r="L21"/>
    </row>
    <row r="22" spans="1:12" x14ac:dyDescent="0.25">
      <c r="A22" s="283"/>
      <c r="B22" s="256">
        <v>9</v>
      </c>
      <c r="C22" s="444" t="s">
        <v>225</v>
      </c>
      <c r="D22" s="445"/>
      <c r="E22" s="446"/>
      <c r="F22" s="290">
        <v>214618</v>
      </c>
      <c r="G22" s="293"/>
      <c r="H22" s="293"/>
      <c r="I22" s="293"/>
      <c r="J22" s="293"/>
      <c r="K22" s="293">
        <f t="shared" si="0"/>
        <v>214618</v>
      </c>
      <c r="L22"/>
    </row>
    <row r="23" spans="1:12" x14ac:dyDescent="0.25">
      <c r="A23" s="281"/>
      <c r="B23" s="277">
        <v>10</v>
      </c>
      <c r="C23" s="433" t="s">
        <v>140</v>
      </c>
      <c r="D23" s="433"/>
      <c r="E23" s="433"/>
      <c r="F23" s="294">
        <f>SUM(G33:G132)</f>
        <v>5162467</v>
      </c>
      <c r="G23" s="293">
        <f>SUM(H33:H132)</f>
        <v>3195955</v>
      </c>
      <c r="H23" s="293">
        <f>SUM(I33:I132)</f>
        <v>0</v>
      </c>
      <c r="I23" s="293">
        <f>SUM(J33:J132)</f>
        <v>0</v>
      </c>
      <c r="J23" s="293">
        <f>SUM(K33:K132)</f>
        <v>0</v>
      </c>
      <c r="K23" s="293">
        <f t="shared" si="0"/>
        <v>8358422</v>
      </c>
      <c r="L23"/>
    </row>
    <row r="24" spans="1:12" ht="30.95" customHeight="1" x14ac:dyDescent="0.25">
      <c r="A24" s="281"/>
      <c r="B24" s="277">
        <v>11</v>
      </c>
      <c r="C24" s="434" t="s">
        <v>223</v>
      </c>
      <c r="D24" s="435"/>
      <c r="E24" s="436"/>
      <c r="F24" s="7">
        <f>SUM(F14:F16,F18:F23)</f>
        <v>5423423.0005280003</v>
      </c>
      <c r="G24" s="7">
        <f>SUM(G14:G16,G18:G23)</f>
        <v>3262306.6894720001</v>
      </c>
      <c r="H24" s="43">
        <f t="shared" ref="H24:J24" si="1">SUM(H14:H16,H18:H23)</f>
        <v>0</v>
      </c>
      <c r="I24" s="7">
        <f t="shared" si="1"/>
        <v>0</v>
      </c>
      <c r="J24" s="7">
        <f t="shared" si="1"/>
        <v>0</v>
      </c>
      <c r="K24" s="7">
        <f>SUM(K14:K16,K18:K23)</f>
        <v>8685729.6899999995</v>
      </c>
      <c r="L24"/>
    </row>
    <row r="25" spans="1:12" s="325" customFormat="1" ht="30.95" customHeight="1" x14ac:dyDescent="0.25">
      <c r="A25" s="281"/>
      <c r="B25" s="277">
        <v>12</v>
      </c>
      <c r="C25" s="441" t="s">
        <v>283</v>
      </c>
      <c r="D25" s="441"/>
      <c r="E25" s="441"/>
      <c r="F25" s="7">
        <f>SUM(F14:F16,F18,F23)</f>
        <v>5208805.0005280003</v>
      </c>
      <c r="G25" s="299">
        <f t="shared" ref="G25:J25" si="2">SUM(G14:G16,G18,G23)</f>
        <v>3262306.6894720001</v>
      </c>
      <c r="H25" s="299">
        <f t="shared" si="2"/>
        <v>0</v>
      </c>
      <c r="I25" s="299">
        <f t="shared" si="2"/>
        <v>0</v>
      </c>
      <c r="J25" s="7">
        <f t="shared" si="2"/>
        <v>0</v>
      </c>
      <c r="K25" s="7">
        <f>SUM(K14:K16,K18,K23)</f>
        <v>8471111.6899999995</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40" t="s">
        <v>166</v>
      </c>
      <c r="E31" s="440"/>
      <c r="F31" s="440"/>
      <c r="G31" s="344" t="s">
        <v>28</v>
      </c>
      <c r="H31" s="437" t="s">
        <v>30</v>
      </c>
      <c r="I31" s="438"/>
      <c r="J31" s="438"/>
      <c r="K31" s="439"/>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12</v>
      </c>
      <c r="D33" s="421" t="s">
        <v>339</v>
      </c>
      <c r="E33" s="416" t="s">
        <v>327</v>
      </c>
      <c r="F33" s="297" t="s">
        <v>103</v>
      </c>
      <c r="G33" s="291">
        <v>550519</v>
      </c>
      <c r="H33" s="291">
        <v>355531</v>
      </c>
      <c r="I33" s="291"/>
      <c r="J33" s="318"/>
      <c r="K33" s="291"/>
      <c r="L33" s="293">
        <f>SUM(G33:K33)</f>
        <v>906050</v>
      </c>
    </row>
    <row r="34" spans="1:12" s="359" customFormat="1" x14ac:dyDescent="0.25">
      <c r="A34" s="281"/>
      <c r="B34" s="295">
        <v>2</v>
      </c>
      <c r="C34" s="296">
        <f t="shared" si="3"/>
        <v>12</v>
      </c>
      <c r="D34" s="421" t="s">
        <v>338</v>
      </c>
      <c r="E34" s="416" t="s">
        <v>328</v>
      </c>
      <c r="F34" s="297" t="s">
        <v>102</v>
      </c>
      <c r="G34" s="291">
        <v>4646329</v>
      </c>
      <c r="H34" s="291">
        <v>2660562</v>
      </c>
      <c r="I34" s="291"/>
      <c r="J34" s="318"/>
      <c r="K34" s="291"/>
      <c r="L34" s="293">
        <f t="shared" ref="L34:L97" si="4">SUM(G34:K34)</f>
        <v>7306891</v>
      </c>
    </row>
    <row r="35" spans="1:12" s="359" customFormat="1" x14ac:dyDescent="0.25">
      <c r="A35" s="281"/>
      <c r="B35" s="295">
        <v>3</v>
      </c>
      <c r="C35" s="296">
        <f t="shared" si="3"/>
        <v>12</v>
      </c>
      <c r="D35" s="421" t="s">
        <v>340</v>
      </c>
      <c r="E35" s="416" t="s">
        <v>329</v>
      </c>
      <c r="F35" s="297" t="s">
        <v>103</v>
      </c>
      <c r="G35" s="291">
        <v>-83140</v>
      </c>
      <c r="H35" s="291">
        <v>141654</v>
      </c>
      <c r="I35" s="291"/>
      <c r="J35" s="318"/>
      <c r="K35" s="291"/>
      <c r="L35" s="293">
        <f t="shared" si="4"/>
        <v>58514</v>
      </c>
    </row>
    <row r="36" spans="1:12" s="359" customFormat="1" x14ac:dyDescent="0.25">
      <c r="A36" s="281"/>
      <c r="B36" s="295">
        <v>4</v>
      </c>
      <c r="C36" s="296">
        <f t="shared" si="3"/>
        <v>12</v>
      </c>
      <c r="D36" s="421" t="s">
        <v>341</v>
      </c>
      <c r="E36" s="416" t="s">
        <v>330</v>
      </c>
      <c r="F36" s="297" t="s">
        <v>103</v>
      </c>
      <c r="G36" s="291">
        <v>48759</v>
      </c>
      <c r="H36" s="291">
        <v>38208</v>
      </c>
      <c r="I36" s="291"/>
      <c r="J36" s="318"/>
      <c r="K36" s="291"/>
      <c r="L36" s="293">
        <f t="shared" si="4"/>
        <v>86967</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zoomScale="70" zoomScaleNormal="70" zoomScaleSheetLayoutView="40" zoomScalePageLayoutView="80" workbookViewId="0">
      <selection activeCell="J40" sqref="J40"/>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2" t="s">
        <v>1</v>
      </c>
      <c r="C7" s="443"/>
      <c r="D7" s="9" t="str">
        <f>IF(ISBLANK('1. Information'!D8),"",'1. Information'!D8)</f>
        <v>Humboldt</v>
      </c>
      <c r="F7" s="94" t="s">
        <v>2</v>
      </c>
      <c r="G7" s="109">
        <f>IF(ISBLANK('1. Information'!D7),"",'1. Information'!D7)</f>
        <v>43460</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2" t="s">
        <v>30</v>
      </c>
      <c r="H12" s="440"/>
      <c r="I12" s="440"/>
      <c r="J12" s="443"/>
      <c r="K12" s="303"/>
      <c r="L12"/>
      <c r="M12"/>
      <c r="N12"/>
      <c r="O12"/>
      <c r="P12"/>
      <c r="Q12"/>
      <c r="AL12" s="108"/>
      <c r="AM12" s="108"/>
      <c r="AN12" s="108"/>
    </row>
    <row r="13" spans="2:40" ht="47.25" customHeight="1" x14ac:dyDescent="0.25">
      <c r="C13" s="451"/>
      <c r="D13" s="451"/>
      <c r="E13" s="451"/>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7" t="s">
        <v>3</v>
      </c>
      <c r="D14" s="447"/>
      <c r="E14" s="444"/>
      <c r="F14" s="291">
        <v>29447.77</v>
      </c>
      <c r="G14" s="353"/>
      <c r="H14" s="353"/>
      <c r="I14" s="353"/>
      <c r="J14" s="353"/>
      <c r="K14" s="292">
        <f>SUM(F14:J14)</f>
        <v>29447.77</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7" t="s">
        <v>133</v>
      </c>
      <c r="D15" s="447"/>
      <c r="E15" s="444"/>
      <c r="F15" s="291">
        <v>12275.8</v>
      </c>
      <c r="G15" s="353"/>
      <c r="H15" s="353"/>
      <c r="I15" s="353"/>
      <c r="J15" s="353"/>
      <c r="K15" s="292">
        <f t="shared" ref="K15:K20" si="0">SUM(F15:J15)</f>
        <v>12275.8</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2" t="s">
        <v>149</v>
      </c>
      <c r="D16" s="452"/>
      <c r="E16" s="453"/>
      <c r="F16" s="388">
        <f>91141.99+16361.45</f>
        <v>107503.44</v>
      </c>
      <c r="G16" s="387"/>
      <c r="H16" s="387"/>
      <c r="I16" s="387"/>
      <c r="J16" s="387"/>
      <c r="K16" s="292">
        <f t="shared" si="0"/>
        <v>107503.44</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7" t="s">
        <v>228</v>
      </c>
      <c r="D17" s="447"/>
      <c r="E17" s="444"/>
      <c r="F17" s="291">
        <v>11109</v>
      </c>
      <c r="G17" s="387"/>
      <c r="H17" s="387"/>
      <c r="I17" s="387"/>
      <c r="J17" s="387"/>
      <c r="K17" s="292">
        <f t="shared" si="0"/>
        <v>11109</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7" t="s">
        <v>215</v>
      </c>
      <c r="D18" s="447"/>
      <c r="E18" s="444"/>
      <c r="F18" s="389">
        <v>11000</v>
      </c>
      <c r="G18" s="403"/>
      <c r="H18" s="403"/>
      <c r="I18" s="403"/>
      <c r="J18" s="403"/>
      <c r="K18" s="292">
        <f t="shared" si="0"/>
        <v>11000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7" t="s">
        <v>217</v>
      </c>
      <c r="D19" s="447"/>
      <c r="E19" s="444"/>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3" t="s">
        <v>150</v>
      </c>
      <c r="D20" s="433"/>
      <c r="E20" s="433"/>
      <c r="F20" s="315">
        <f>SUMIF($G$36:$G$135,"Combined Summary",L$36:L$135) + SUMIF($F$36:$F$135,"Standalone",L$36:L$135)</f>
        <v>1434981.81</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1434981.81</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7" t="s">
        <v>229</v>
      </c>
      <c r="D21" s="457"/>
      <c r="E21" s="457"/>
      <c r="F21" s="8">
        <f>SUM(F14:F16,F19:F20)</f>
        <v>1584208.82</v>
      </c>
      <c r="G21" s="8">
        <f t="shared" ref="G21:K21" si="1">SUM(G14:G16,G19:G20)</f>
        <v>0</v>
      </c>
      <c r="H21" s="8">
        <f t="shared" si="1"/>
        <v>0</v>
      </c>
      <c r="I21" s="8">
        <f t="shared" si="1"/>
        <v>0</v>
      </c>
      <c r="J21" s="8">
        <f t="shared" si="1"/>
        <v>0</v>
      </c>
      <c r="K21" s="8">
        <f t="shared" si="1"/>
        <v>1584208.82</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6" t="s">
        <v>234</v>
      </c>
      <c r="G26" s="454" t="s">
        <v>233</v>
      </c>
      <c r="H26" s="110"/>
      <c r="I26" s="110"/>
      <c r="J26" s="110"/>
      <c r="K26" s="110"/>
      <c r="L26" s="110"/>
      <c r="M26" s="110"/>
      <c r="N26" s="110"/>
      <c r="O26" s="110"/>
      <c r="P26" s="110"/>
      <c r="Q26" s="110"/>
    </row>
    <row r="27" spans="2:40" ht="15" customHeight="1" x14ac:dyDescent="0.25">
      <c r="B27" s="99"/>
      <c r="C27" s="99"/>
      <c r="D27" s="99"/>
      <c r="E27" s="99"/>
      <c r="F27" s="456"/>
      <c r="G27" s="454"/>
      <c r="H27" s="110"/>
      <c r="I27" s="110"/>
      <c r="J27" s="110"/>
      <c r="K27" s="110"/>
      <c r="L27" s="110"/>
      <c r="M27" s="110"/>
      <c r="N27" s="110"/>
      <c r="O27" s="110"/>
      <c r="P27" s="110"/>
      <c r="Q27" s="110"/>
    </row>
    <row r="28" spans="2:40" x14ac:dyDescent="0.25">
      <c r="B28" s="99"/>
      <c r="C28" s="99"/>
      <c r="D28" s="99"/>
      <c r="E28" s="99"/>
      <c r="F28" s="456"/>
      <c r="G28" s="455"/>
      <c r="H28" s="110"/>
      <c r="I28" s="110"/>
      <c r="J28" s="110"/>
      <c r="K28" s="110"/>
      <c r="L28" s="110"/>
      <c r="M28" s="110"/>
      <c r="N28" s="110"/>
      <c r="O28" s="110"/>
      <c r="P28" s="110"/>
      <c r="Q28" s="110"/>
    </row>
    <row r="29" spans="2:40" ht="51.75" customHeight="1" x14ac:dyDescent="0.25">
      <c r="B29" s="130">
        <v>1</v>
      </c>
      <c r="C29" s="448" t="s">
        <v>245</v>
      </c>
      <c r="D29" s="449"/>
      <c r="E29" s="450"/>
      <c r="F29" s="10">
        <f>IF(F21=0,"",((SUMPRODUCT($K$36:$K$135,$L$36:$L$135)+(F19*G29))/$F$21))</f>
        <v>0.54756735289480329</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40" t="s">
        <v>165</v>
      </c>
      <c r="E34" s="440"/>
      <c r="F34" s="440"/>
      <c r="G34" s="440"/>
      <c r="H34" s="440"/>
      <c r="I34" s="440"/>
      <c r="J34" s="440"/>
      <c r="K34" s="440"/>
      <c r="L34" s="340" t="s">
        <v>28</v>
      </c>
      <c r="M34" s="442" t="s">
        <v>30</v>
      </c>
      <c r="N34" s="440"/>
      <c r="O34" s="440"/>
      <c r="P34" s="443"/>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12</v>
      </c>
      <c r="D36" s="337" t="s">
        <v>147</v>
      </c>
      <c r="E36" s="395"/>
      <c r="F36" s="416" t="s">
        <v>143</v>
      </c>
      <c r="G36" s="417" t="s">
        <v>147</v>
      </c>
      <c r="H36" s="125"/>
      <c r="I36" s="422">
        <v>1</v>
      </c>
      <c r="J36" s="422">
        <v>0.65</v>
      </c>
      <c r="K36" s="350">
        <f>IF(OR(G36="Combined Summary",F36="Standalone"),(SUMPRODUCT(--(D$36:D$135=D36),I$36:I$135,J$36:J$135)),"")</f>
        <v>0.65</v>
      </c>
      <c r="L36" s="291">
        <v>186423.43</v>
      </c>
      <c r="M36" s="352"/>
      <c r="N36" s="116"/>
      <c r="O36" s="116"/>
      <c r="P36" s="116"/>
      <c r="Q36" s="351">
        <f>SUM(L36:P36)</f>
        <v>186423.43</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12</v>
      </c>
      <c r="D37" s="337" t="s">
        <v>146</v>
      </c>
      <c r="E37" s="395"/>
      <c r="F37" s="416" t="s">
        <v>143</v>
      </c>
      <c r="G37" s="417" t="s">
        <v>146</v>
      </c>
      <c r="H37" s="125"/>
      <c r="I37" s="422">
        <v>1</v>
      </c>
      <c r="J37" s="422">
        <v>0.65</v>
      </c>
      <c r="K37" s="350">
        <f t="shared" ref="K37:K100" si="3">IF(OR(G37="Combined Summary",F37="Standalone"),(SUMPRODUCT(--(D$36:D$135=D37),I$36:I$135,J$36:J$135)),"")</f>
        <v>0.65</v>
      </c>
      <c r="L37" s="291">
        <v>173578.51</v>
      </c>
      <c r="M37" s="352"/>
      <c r="N37" s="116"/>
      <c r="O37" s="116"/>
      <c r="P37" s="116"/>
      <c r="Q37" s="351">
        <f t="shared" ref="Q37:Q100" si="4">SUM(L37:P37)</f>
        <v>173578.51</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12</v>
      </c>
      <c r="D38" s="337" t="s">
        <v>331</v>
      </c>
      <c r="E38" s="395"/>
      <c r="F38" s="416" t="s">
        <v>143</v>
      </c>
      <c r="G38" s="417" t="s">
        <v>132</v>
      </c>
      <c r="H38" s="125"/>
      <c r="I38" s="422">
        <v>1</v>
      </c>
      <c r="J38" s="422">
        <v>0.1</v>
      </c>
      <c r="K38" s="350">
        <f t="shared" si="3"/>
        <v>0.1</v>
      </c>
      <c r="L38" s="291">
        <v>296535.59999999998</v>
      </c>
      <c r="M38" s="352"/>
      <c r="N38" s="116"/>
      <c r="O38" s="116"/>
      <c r="P38" s="116"/>
      <c r="Q38" s="351">
        <f t="shared" si="4"/>
        <v>296535.59999999998</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12</v>
      </c>
      <c r="D39" s="337" t="s">
        <v>332</v>
      </c>
      <c r="E39" s="395"/>
      <c r="F39" s="416" t="s">
        <v>143</v>
      </c>
      <c r="G39" s="417" t="s">
        <v>148</v>
      </c>
      <c r="H39" s="125"/>
      <c r="I39" s="422">
        <v>1</v>
      </c>
      <c r="J39" s="422">
        <v>0.85</v>
      </c>
      <c r="K39" s="350">
        <f t="shared" si="3"/>
        <v>0.85</v>
      </c>
      <c r="L39" s="291">
        <v>426574.42</v>
      </c>
      <c r="M39" s="352"/>
      <c r="N39" s="116"/>
      <c r="O39" s="116"/>
      <c r="P39" s="116"/>
      <c r="Q39" s="351">
        <f t="shared" si="4"/>
        <v>426574.42</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12</v>
      </c>
      <c r="D40" s="337" t="s">
        <v>333</v>
      </c>
      <c r="E40" s="395"/>
      <c r="F40" s="416" t="s">
        <v>143</v>
      </c>
      <c r="G40" s="417" t="s">
        <v>132</v>
      </c>
      <c r="H40" s="125"/>
      <c r="I40" s="422">
        <v>1</v>
      </c>
      <c r="J40" s="422">
        <v>0.65</v>
      </c>
      <c r="K40" s="350">
        <f t="shared" si="3"/>
        <v>0.65</v>
      </c>
      <c r="L40" s="291">
        <v>316148.28000000003</v>
      </c>
      <c r="M40" s="352"/>
      <c r="N40" s="116"/>
      <c r="O40" s="116"/>
      <c r="P40" s="116"/>
      <c r="Q40" s="351">
        <f t="shared" si="4"/>
        <v>316148.28000000003</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12</v>
      </c>
      <c r="D41" s="337" t="s">
        <v>334</v>
      </c>
      <c r="E41" s="395"/>
      <c r="F41" s="416" t="s">
        <v>143</v>
      </c>
      <c r="G41" s="416" t="s">
        <v>137</v>
      </c>
      <c r="H41" s="125"/>
      <c r="I41" s="422">
        <v>1</v>
      </c>
      <c r="J41" s="422">
        <v>1</v>
      </c>
      <c r="K41" s="350">
        <f t="shared" si="3"/>
        <v>1</v>
      </c>
      <c r="L41" s="291">
        <v>35721.57</v>
      </c>
      <c r="M41" s="352"/>
      <c r="N41" s="116"/>
      <c r="O41" s="116"/>
      <c r="P41" s="116"/>
      <c r="Q41" s="351">
        <f t="shared" si="4"/>
        <v>35721.57</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abSelected="1" topLeftCell="E6" zoomScale="70" zoomScaleNormal="70" zoomScaleSheetLayoutView="40" workbookViewId="0">
      <selection activeCell="K36" sqref="K36"/>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9"/>
      <c r="C1" s="459"/>
      <c r="D1" s="459"/>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2" t="s">
        <v>1</v>
      </c>
      <c r="C7" s="432"/>
      <c r="D7" s="9" t="str">
        <f>IF(ISBLANK('1. Information'!D8),"",'1. Information'!D8)</f>
        <v>Humboldt</v>
      </c>
      <c r="F7" s="94" t="s">
        <v>2</v>
      </c>
      <c r="G7" s="109">
        <f>IF(ISBLANK('1. Information'!D7),"",'1. Information'!D7)</f>
        <v>43460</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40" t="s">
        <v>30</v>
      </c>
      <c r="H12" s="440"/>
      <c r="I12" s="440"/>
      <c r="J12" s="443"/>
      <c r="K12" s="308"/>
      <c r="L12"/>
      <c r="M12"/>
      <c r="N12"/>
      <c r="O12" s="108"/>
      <c r="P12" s="108"/>
    </row>
    <row r="13" spans="2:16" ht="65.25" customHeight="1" x14ac:dyDescent="0.25">
      <c r="B13" s="108"/>
      <c r="C13" s="461"/>
      <c r="D13" s="461"/>
      <c r="E13" s="461"/>
      <c r="F13" s="30" t="s">
        <v>300</v>
      </c>
      <c r="G13" s="44" t="s">
        <v>5</v>
      </c>
      <c r="H13" s="27" t="s">
        <v>6</v>
      </c>
      <c r="I13" s="27" t="s">
        <v>31</v>
      </c>
      <c r="J13" s="27" t="s">
        <v>15</v>
      </c>
      <c r="K13" s="306" t="s">
        <v>278</v>
      </c>
      <c r="L13"/>
      <c r="M13"/>
      <c r="N13"/>
      <c r="O13" s="108"/>
      <c r="P13" s="108"/>
    </row>
    <row r="14" spans="2:16" ht="15.75" x14ac:dyDescent="0.25">
      <c r="B14" s="101">
        <v>1</v>
      </c>
      <c r="C14" s="447" t="s">
        <v>160</v>
      </c>
      <c r="D14" s="447"/>
      <c r="E14" s="447"/>
      <c r="F14" s="290">
        <v>12752.46</v>
      </c>
      <c r="G14" s="45"/>
      <c r="H14" s="29"/>
      <c r="I14" s="29"/>
      <c r="J14" s="309"/>
      <c r="K14" s="293">
        <f>SUM(F14:J14)</f>
        <v>12752.46</v>
      </c>
      <c r="L14"/>
      <c r="M14"/>
      <c r="N14"/>
      <c r="O14" s="108"/>
      <c r="P14" s="108"/>
    </row>
    <row r="15" spans="2:16" ht="15.75" x14ac:dyDescent="0.25">
      <c r="B15" s="101">
        <v>2</v>
      </c>
      <c r="C15" s="447" t="s">
        <v>161</v>
      </c>
      <c r="D15" s="447"/>
      <c r="E15" s="447"/>
      <c r="F15" s="29">
        <v>7085.39</v>
      </c>
      <c r="G15" s="411"/>
      <c r="H15" s="412"/>
      <c r="I15" s="412"/>
      <c r="J15" s="413"/>
      <c r="K15" s="293">
        <f>SUM(F15:J15)</f>
        <v>7085.39</v>
      </c>
      <c r="L15"/>
      <c r="M15"/>
      <c r="N15"/>
      <c r="O15" s="108"/>
      <c r="P15" s="108"/>
    </row>
    <row r="16" spans="2:16" ht="15.75" x14ac:dyDescent="0.25">
      <c r="B16" s="405">
        <v>3</v>
      </c>
      <c r="C16" s="444" t="s">
        <v>314</v>
      </c>
      <c r="D16" s="445"/>
      <c r="E16" s="446"/>
      <c r="F16" s="367"/>
      <c r="G16" s="19"/>
      <c r="H16" s="19"/>
      <c r="I16" s="19"/>
      <c r="J16" s="19"/>
      <c r="K16" s="293">
        <f>SUM(F16:J16)</f>
        <v>0</v>
      </c>
      <c r="L16" s="404"/>
      <c r="M16" s="404"/>
      <c r="N16" s="404"/>
      <c r="O16" s="108"/>
      <c r="P16" s="108"/>
    </row>
    <row r="17" spans="2:17" ht="15.75" x14ac:dyDescent="0.25">
      <c r="B17" s="405">
        <v>4</v>
      </c>
      <c r="C17" s="444" t="s">
        <v>315</v>
      </c>
      <c r="D17" s="445"/>
      <c r="E17" s="446"/>
      <c r="F17" s="410"/>
      <c r="G17" s="19"/>
      <c r="H17" s="19"/>
      <c r="I17" s="19"/>
      <c r="J17" s="19"/>
      <c r="K17" s="293">
        <f>SUM(F17:J17)</f>
        <v>0</v>
      </c>
      <c r="L17" s="404"/>
      <c r="M17" s="404"/>
      <c r="N17" s="404"/>
      <c r="O17" s="108"/>
      <c r="P17" s="108"/>
    </row>
    <row r="18" spans="2:17" ht="15.75" x14ac:dyDescent="0.25">
      <c r="B18" s="101">
        <v>5</v>
      </c>
      <c r="C18" s="447" t="s">
        <v>162</v>
      </c>
      <c r="D18" s="447"/>
      <c r="E18" s="447"/>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7" t="s">
        <v>163</v>
      </c>
      <c r="D19" s="447"/>
      <c r="E19" s="447"/>
      <c r="F19" s="19">
        <f>SUMIF($J$29:$J$132,"Project Evaluation",K$29:K$132)</f>
        <v>5316.08</v>
      </c>
      <c r="G19" s="47">
        <f>SUMIF($J$29:$J$132,"Project Evaluation",L$29:L$132)</f>
        <v>0</v>
      </c>
      <c r="H19" s="19">
        <f>SUMIF($J$29:$J$132,"Project Evaluation",M$29:M$132)</f>
        <v>0</v>
      </c>
      <c r="I19" s="19">
        <f>SUMIF($J$29:$J$132,"Project Evaluation",N$29:N$132)</f>
        <v>0</v>
      </c>
      <c r="J19" s="19">
        <f>SUMIF($J$29:$J$132,"Project Evaluation",O$29:O$132)</f>
        <v>0</v>
      </c>
      <c r="K19" s="293">
        <f t="shared" si="0"/>
        <v>5316.08</v>
      </c>
      <c r="L19"/>
      <c r="M19"/>
      <c r="N19"/>
      <c r="O19" s="108"/>
      <c r="P19" s="108"/>
    </row>
    <row r="20" spans="2:17" ht="15.75" x14ac:dyDescent="0.25">
      <c r="B20" s="101">
        <v>7</v>
      </c>
      <c r="C20" s="447" t="s">
        <v>236</v>
      </c>
      <c r="D20" s="447"/>
      <c r="E20" s="447"/>
      <c r="F20" s="19">
        <f>SUMIF($J$29:$J$132,"Project Direct",K$29:K$132)</f>
        <v>432927</v>
      </c>
      <c r="G20" s="47">
        <f>SUMIF($J$29:$J$132,"Project Direct",L$29:L$132)</f>
        <v>117922</v>
      </c>
      <c r="H20" s="19">
        <f>SUMIF($J$29:$J$132,"Project Direct",M$29:M$132)</f>
        <v>114808</v>
      </c>
      <c r="I20" s="19">
        <f>SUMIF($J$29:$J$132,"Project Direct",N$29:N$132)</f>
        <v>0</v>
      </c>
      <c r="J20" s="19">
        <f>SUMIF($J$29:$J$132,"Project Direct",O$29:O$132)</f>
        <v>0</v>
      </c>
      <c r="K20" s="293">
        <f t="shared" si="0"/>
        <v>665657</v>
      </c>
      <c r="L20"/>
      <c r="M20"/>
      <c r="N20"/>
      <c r="O20" s="108"/>
      <c r="P20" s="108"/>
    </row>
    <row r="21" spans="2:17" ht="15.75" x14ac:dyDescent="0.25">
      <c r="B21" s="101">
        <v>8</v>
      </c>
      <c r="C21" s="460" t="s">
        <v>164</v>
      </c>
      <c r="D21" s="460"/>
      <c r="E21" s="460"/>
      <c r="F21" s="18">
        <f>SUM(F18:F20)</f>
        <v>438243.08</v>
      </c>
      <c r="G21" s="48">
        <f>SUM(G18:G20)</f>
        <v>117922</v>
      </c>
      <c r="H21" s="18">
        <f>SUM(H18:H20)</f>
        <v>114808</v>
      </c>
      <c r="I21" s="18">
        <f>SUM(I18:I20)</f>
        <v>0</v>
      </c>
      <c r="J21" s="18">
        <f t="shared" ref="J21" si="1">SUM(J18:J20)</f>
        <v>0</v>
      </c>
      <c r="K21" s="18">
        <f t="shared" ref="K21" si="2">SUM(K18:K20)</f>
        <v>670973.07999999996</v>
      </c>
      <c r="L21"/>
      <c r="M21"/>
      <c r="N21"/>
      <c r="O21" s="108"/>
      <c r="P21" s="108"/>
    </row>
    <row r="22" spans="2:17" ht="30.95" customHeight="1" x14ac:dyDescent="0.25">
      <c r="B22" s="101">
        <v>9</v>
      </c>
      <c r="C22" s="457" t="s">
        <v>316</v>
      </c>
      <c r="D22" s="457"/>
      <c r="E22" s="457"/>
      <c r="F22" s="20">
        <f t="shared" ref="F22:K22" si="3">SUM(F14:F15,F17,F18:F20)</f>
        <v>458080.93</v>
      </c>
      <c r="G22" s="20">
        <f t="shared" si="3"/>
        <v>117922</v>
      </c>
      <c r="H22" s="20">
        <f t="shared" si="3"/>
        <v>114808</v>
      </c>
      <c r="I22" s="20">
        <f t="shared" si="3"/>
        <v>0</v>
      </c>
      <c r="J22" s="20">
        <f t="shared" si="3"/>
        <v>0</v>
      </c>
      <c r="K22" s="20">
        <f t="shared" si="3"/>
        <v>690810.93</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8" t="s">
        <v>167</v>
      </c>
      <c r="E27" s="458"/>
      <c r="F27" s="458"/>
      <c r="G27" s="458"/>
      <c r="H27" s="458"/>
      <c r="I27" s="458"/>
      <c r="J27" s="458"/>
      <c r="K27" s="340" t="s">
        <v>28</v>
      </c>
      <c r="L27" s="458" t="s">
        <v>30</v>
      </c>
      <c r="M27" s="458"/>
      <c r="N27" s="458"/>
      <c r="O27" s="458"/>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12</v>
      </c>
      <c r="D29" s="416" t="s">
        <v>335</v>
      </c>
      <c r="E29" s="138"/>
      <c r="F29" s="138">
        <v>42243</v>
      </c>
      <c r="G29" s="138"/>
      <c r="H29" s="116">
        <f>1109133-H33</f>
        <v>909133</v>
      </c>
      <c r="I29" s="116"/>
      <c r="J29" s="118" t="s">
        <v>158</v>
      </c>
      <c r="K29" s="120"/>
      <c r="L29" s="120"/>
      <c r="M29" s="116"/>
      <c r="N29" s="116"/>
      <c r="O29" s="129"/>
      <c r="P29" s="293">
        <f t="shared" ref="P29:P64" si="4">SUM(K29:O29)</f>
        <v>0</v>
      </c>
    </row>
    <row r="30" spans="2:17" x14ac:dyDescent="0.2">
      <c r="B30" s="123">
        <v>1</v>
      </c>
      <c r="C30" s="139">
        <f t="shared" ref="C30:I31" si="5">IF(ISBLANK(C29),"",C29)</f>
        <v>12</v>
      </c>
      <c r="D30" s="397" t="str">
        <f t="shared" si="5"/>
        <v>Rapid re-Housing</v>
      </c>
      <c r="E30" s="140" t="str">
        <f t="shared" si="5"/>
        <v/>
      </c>
      <c r="F30" s="140">
        <f t="shared" si="5"/>
        <v>42243</v>
      </c>
      <c r="G30" s="140" t="str">
        <f t="shared" si="5"/>
        <v/>
      </c>
      <c r="H30" s="122">
        <f t="shared" si="5"/>
        <v>909133</v>
      </c>
      <c r="I30" s="122" t="str">
        <f t="shared" si="5"/>
        <v/>
      </c>
      <c r="J30" s="119" t="s">
        <v>159</v>
      </c>
      <c r="K30" s="120">
        <v>5316.08</v>
      </c>
      <c r="L30" s="120"/>
      <c r="M30" s="116"/>
      <c r="N30" s="116"/>
      <c r="O30" s="129"/>
      <c r="P30" s="293">
        <f t="shared" si="4"/>
        <v>5316.08</v>
      </c>
    </row>
    <row r="31" spans="2:17" x14ac:dyDescent="0.2">
      <c r="B31" s="123">
        <v>1</v>
      </c>
      <c r="C31" s="139">
        <f t="shared" ref="C31:H31" si="6">IF(ISBLANK(C29),"",C29)</f>
        <v>12</v>
      </c>
      <c r="D31" s="398" t="str">
        <f t="shared" si="6"/>
        <v>Rapid re-Housing</v>
      </c>
      <c r="E31" s="141" t="str">
        <f t="shared" si="6"/>
        <v/>
      </c>
      <c r="F31" s="141">
        <f t="shared" si="6"/>
        <v>42243</v>
      </c>
      <c r="G31" s="141" t="str">
        <f t="shared" si="6"/>
        <v/>
      </c>
      <c r="H31" s="119">
        <f t="shared" si="6"/>
        <v>909133</v>
      </c>
      <c r="I31" s="119" t="str">
        <f t="shared" si="5"/>
        <v/>
      </c>
      <c r="J31" s="119" t="s">
        <v>237</v>
      </c>
      <c r="K31" s="120"/>
      <c r="L31" s="120"/>
      <c r="M31" s="116">
        <v>114808</v>
      </c>
      <c r="N31" s="116"/>
      <c r="O31" s="129"/>
      <c r="P31" s="293">
        <f t="shared" si="4"/>
        <v>114808</v>
      </c>
    </row>
    <row r="32" spans="2:17" ht="15.75" x14ac:dyDescent="0.25">
      <c r="B32" s="96">
        <v>1</v>
      </c>
      <c r="C32" s="22">
        <f t="shared" ref="C32:I32" si="7">IF(ISBLANK(C29),"",C29)</f>
        <v>12</v>
      </c>
      <c r="D32" s="399" t="str">
        <f t="shared" si="7"/>
        <v>Rapid re-Housing</v>
      </c>
      <c r="E32" s="33" t="str">
        <f t="shared" si="7"/>
        <v/>
      </c>
      <c r="F32" s="33">
        <f t="shared" si="7"/>
        <v>42243</v>
      </c>
      <c r="G32" s="33" t="str">
        <f t="shared" si="7"/>
        <v/>
      </c>
      <c r="H32" s="34">
        <f t="shared" si="7"/>
        <v>909133</v>
      </c>
      <c r="I32" s="34" t="str">
        <f t="shared" si="7"/>
        <v/>
      </c>
      <c r="J32" s="8" t="s">
        <v>263</v>
      </c>
      <c r="K32" s="50">
        <f>SUM(K29:K31)</f>
        <v>5316.08</v>
      </c>
      <c r="L32" s="50">
        <f>SUM(L29:L31)</f>
        <v>0</v>
      </c>
      <c r="M32" s="35">
        <f t="shared" ref="M32:O32" si="8">SUM(M29:M31)</f>
        <v>114808</v>
      </c>
      <c r="N32" s="35">
        <f t="shared" si="8"/>
        <v>0</v>
      </c>
      <c r="O32" s="311">
        <f t="shared" si="8"/>
        <v>0</v>
      </c>
      <c r="P32" s="8">
        <f t="shared" si="4"/>
        <v>120124.08</v>
      </c>
    </row>
    <row r="33" spans="2:16" x14ac:dyDescent="0.2">
      <c r="B33" s="123">
        <v>2</v>
      </c>
      <c r="C33" s="137">
        <f>IF(P36&lt;&gt;0,VLOOKUP($D$7,Info_County_Code,2,FALSE),"")</f>
        <v>12</v>
      </c>
      <c r="D33" s="416" t="s">
        <v>336</v>
      </c>
      <c r="E33" s="138"/>
      <c r="F33" s="138">
        <v>42243</v>
      </c>
      <c r="G33" s="138"/>
      <c r="H33" s="116">
        <v>200000</v>
      </c>
      <c r="I33" s="116"/>
      <c r="J33" s="118" t="str">
        <f>IF(NOT(ISBLANK(D33)),$J$29,"")</f>
        <v>Project Administration</v>
      </c>
      <c r="K33" s="120"/>
      <c r="L33" s="120"/>
      <c r="M33" s="116"/>
      <c r="N33" s="116"/>
      <c r="O33" s="129"/>
      <c r="P33" s="293">
        <f t="shared" ref="P33:P36" si="9">SUM(K33:O33)</f>
        <v>0</v>
      </c>
    </row>
    <row r="34" spans="2:16" x14ac:dyDescent="0.2">
      <c r="B34" s="123">
        <v>2</v>
      </c>
      <c r="C34" s="139">
        <f t="shared" ref="C34:I34" si="10">IF(ISBLANK(C33),"",C33)</f>
        <v>12</v>
      </c>
      <c r="D34" s="397" t="str">
        <f t="shared" si="10"/>
        <v>MIST</v>
      </c>
      <c r="E34" s="140" t="str">
        <f t="shared" si="10"/>
        <v/>
      </c>
      <c r="F34" s="140">
        <f t="shared" si="10"/>
        <v>42243</v>
      </c>
      <c r="G34" s="140" t="str">
        <f t="shared" si="10"/>
        <v/>
      </c>
      <c r="H34" s="122">
        <f t="shared" si="10"/>
        <v>200000</v>
      </c>
      <c r="I34" s="122" t="str">
        <f t="shared" si="10"/>
        <v/>
      </c>
      <c r="J34" s="119" t="str">
        <f>IF(NOT(ISBLANK(D33)),$J$30,"")</f>
        <v>Project Evaluation</v>
      </c>
      <c r="K34" s="120"/>
      <c r="L34" s="120"/>
      <c r="M34" s="116"/>
      <c r="N34" s="116"/>
      <c r="O34" s="129"/>
      <c r="P34" s="293">
        <f t="shared" si="9"/>
        <v>0</v>
      </c>
    </row>
    <row r="35" spans="2:16" x14ac:dyDescent="0.2">
      <c r="B35" s="123">
        <v>2</v>
      </c>
      <c r="C35" s="139">
        <f t="shared" ref="C35:I35" si="11">IF(ISBLANK(C33),"",C33)</f>
        <v>12</v>
      </c>
      <c r="D35" s="398" t="str">
        <f t="shared" si="11"/>
        <v>MIST</v>
      </c>
      <c r="E35" s="141" t="str">
        <f t="shared" si="11"/>
        <v/>
      </c>
      <c r="F35" s="141">
        <f t="shared" si="11"/>
        <v>42243</v>
      </c>
      <c r="G35" s="141" t="str">
        <f t="shared" si="11"/>
        <v/>
      </c>
      <c r="H35" s="119">
        <f t="shared" si="11"/>
        <v>200000</v>
      </c>
      <c r="I35" s="119" t="str">
        <f t="shared" si="11"/>
        <v/>
      </c>
      <c r="J35" s="119" t="str">
        <f>IF(NOT(ISBLANK(D33)),$J$31,"")</f>
        <v>Project Direct</v>
      </c>
      <c r="K35" s="120">
        <v>432927</v>
      </c>
      <c r="L35" s="120">
        <v>117922</v>
      </c>
      <c r="M35" s="116"/>
      <c r="N35" s="116"/>
      <c r="O35" s="129"/>
      <c r="P35" s="293">
        <f t="shared" si="9"/>
        <v>550849</v>
      </c>
    </row>
    <row r="36" spans="2:16" ht="15.75" x14ac:dyDescent="0.25">
      <c r="B36" s="362">
        <v>2</v>
      </c>
      <c r="C36" s="22">
        <f t="shared" ref="C36:I36" si="12">IF(ISBLANK(C33),"",C33)</f>
        <v>12</v>
      </c>
      <c r="D36" s="399" t="str">
        <f t="shared" si="12"/>
        <v>MIST</v>
      </c>
      <c r="E36" s="33" t="str">
        <f t="shared" si="12"/>
        <v/>
      </c>
      <c r="F36" s="33">
        <f t="shared" si="12"/>
        <v>42243</v>
      </c>
      <c r="G36" s="33" t="str">
        <f t="shared" si="12"/>
        <v/>
      </c>
      <c r="H36" s="34">
        <f t="shared" si="12"/>
        <v>200000</v>
      </c>
      <c r="I36" s="34" t="str">
        <f t="shared" si="12"/>
        <v/>
      </c>
      <c r="J36" s="8" t="str">
        <f>IF(NOT(ISBLANK(D33)),$J$32,"")</f>
        <v>Project Subtotal</v>
      </c>
      <c r="K36" s="50">
        <f t="shared" ref="K36" si="13">SUM(K33:K35)</f>
        <v>432927</v>
      </c>
      <c r="L36" s="50">
        <f>SUM(L33:L35)</f>
        <v>117922</v>
      </c>
      <c r="M36" s="35">
        <f t="shared" ref="M36:O36" si="14">SUM(M33:M35)</f>
        <v>0</v>
      </c>
      <c r="N36" s="35">
        <f t="shared" si="14"/>
        <v>0</v>
      </c>
      <c r="O36" s="311">
        <f t="shared" si="14"/>
        <v>0</v>
      </c>
      <c r="P36" s="8">
        <f t="shared" si="9"/>
        <v>550849</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A4" zoomScale="70" zoomScaleNormal="70" zoomScaleSheetLayoutView="55" workbookViewId="0">
      <selection activeCell="H30" sqref="H30"/>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Humboldt</v>
      </c>
      <c r="F7" s="94" t="s">
        <v>2</v>
      </c>
      <c r="G7" s="38">
        <f>IF(ISBLANK('1. Information'!D7),"",'1. Information'!D7)</f>
        <v>43460</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2" t="s">
        <v>213</v>
      </c>
      <c r="H12" s="463"/>
      <c r="I12" s="463"/>
      <c r="J12" s="464"/>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7" t="s">
        <v>16</v>
      </c>
      <c r="D14" s="447"/>
      <c r="E14" s="444"/>
      <c r="F14" s="290"/>
      <c r="G14" s="142"/>
      <c r="H14" s="142"/>
      <c r="I14" s="142"/>
      <c r="J14" s="142"/>
      <c r="K14" s="292">
        <f>SUM(F14:J14)</f>
        <v>0</v>
      </c>
      <c r="L14"/>
      <c r="M14"/>
      <c r="N14" s="108"/>
      <c r="O14" s="108"/>
    </row>
    <row r="15" spans="1:22" ht="15.75" x14ac:dyDescent="0.25">
      <c r="A15" s="108"/>
      <c r="B15" s="101">
        <v>2</v>
      </c>
      <c r="C15" s="447" t="s">
        <v>17</v>
      </c>
      <c r="D15" s="447"/>
      <c r="E15" s="444"/>
      <c r="F15" s="290"/>
      <c r="G15" s="142"/>
      <c r="H15" s="142"/>
      <c r="I15" s="142"/>
      <c r="J15" s="142"/>
      <c r="K15" s="292">
        <f t="shared" ref="K15:K19" si="0">SUM(F15:J15)</f>
        <v>0</v>
      </c>
      <c r="L15"/>
      <c r="M15"/>
      <c r="N15" s="108"/>
      <c r="O15" s="108"/>
    </row>
    <row r="16" spans="1:22" ht="15.75" x14ac:dyDescent="0.25">
      <c r="A16" s="108"/>
      <c r="B16" s="101">
        <v>3</v>
      </c>
      <c r="C16" s="447" t="s">
        <v>238</v>
      </c>
      <c r="D16" s="447"/>
      <c r="E16" s="444"/>
      <c r="F16" s="290"/>
      <c r="G16" s="355"/>
      <c r="H16" s="355"/>
      <c r="I16" s="355"/>
      <c r="J16" s="355"/>
      <c r="K16" s="292">
        <f t="shared" si="0"/>
        <v>0</v>
      </c>
      <c r="L16"/>
      <c r="M16"/>
      <c r="N16" s="108"/>
      <c r="O16" s="108"/>
    </row>
    <row r="17" spans="1:22" ht="15.75" x14ac:dyDescent="0.25">
      <c r="A17" s="108"/>
      <c r="B17" s="101">
        <v>4</v>
      </c>
      <c r="C17" s="447" t="s">
        <v>221</v>
      </c>
      <c r="D17" s="447"/>
      <c r="E17" s="444"/>
      <c r="F17" s="367"/>
      <c r="G17" s="119"/>
      <c r="H17" s="119"/>
      <c r="I17" s="119"/>
      <c r="J17" s="119"/>
      <c r="K17" s="292">
        <f t="shared" si="0"/>
        <v>0</v>
      </c>
      <c r="L17"/>
      <c r="M17"/>
      <c r="N17" s="108"/>
      <c r="O17" s="108"/>
    </row>
    <row r="18" spans="1:22" ht="15.75" x14ac:dyDescent="0.25">
      <c r="A18" s="108"/>
      <c r="B18" s="101">
        <v>5</v>
      </c>
      <c r="C18" s="447" t="s">
        <v>222</v>
      </c>
      <c r="D18" s="447"/>
      <c r="E18" s="444"/>
      <c r="F18" s="367"/>
      <c r="G18" s="119"/>
      <c r="H18" s="119"/>
      <c r="I18" s="119"/>
      <c r="J18" s="119"/>
      <c r="K18" s="292">
        <f t="shared" si="0"/>
        <v>0</v>
      </c>
      <c r="L18"/>
      <c r="M18"/>
      <c r="N18" s="108"/>
      <c r="O18" s="108"/>
    </row>
    <row r="19" spans="1:22" ht="15.75" x14ac:dyDescent="0.25">
      <c r="A19" s="108"/>
      <c r="B19" s="101">
        <v>6</v>
      </c>
      <c r="C19" s="444" t="s">
        <v>174</v>
      </c>
      <c r="D19" s="445"/>
      <c r="E19" s="446"/>
      <c r="F19" s="122">
        <f>SUM(E28:E32)</f>
        <v>21807</v>
      </c>
      <c r="G19" s="121">
        <f t="shared" ref="G19:I19" si="1">SUM(F28:F32)</f>
        <v>0</v>
      </c>
      <c r="H19" s="122">
        <f t="shared" si="1"/>
        <v>0</v>
      </c>
      <c r="I19" s="122">
        <f t="shared" si="1"/>
        <v>58724</v>
      </c>
      <c r="J19" s="122">
        <f>SUM(I28:I32)</f>
        <v>0</v>
      </c>
      <c r="K19" s="293">
        <f t="shared" si="0"/>
        <v>80531</v>
      </c>
      <c r="L19"/>
      <c r="M19"/>
      <c r="N19" s="108"/>
      <c r="O19" s="108"/>
    </row>
    <row r="20" spans="1:22" ht="30.95" customHeight="1" x14ac:dyDescent="0.25">
      <c r="A20" s="108"/>
      <c r="B20" s="101">
        <v>7</v>
      </c>
      <c r="C20" s="457" t="s">
        <v>220</v>
      </c>
      <c r="D20" s="457"/>
      <c r="E20" s="457"/>
      <c r="F20" s="8">
        <f>SUM(F14:F16,F18:F19)</f>
        <v>21807</v>
      </c>
      <c r="G20" s="43">
        <f t="shared" ref="G20:J20" si="2">SUM(G14:G16,G18:G19)</f>
        <v>0</v>
      </c>
      <c r="H20" s="7">
        <f t="shared" si="2"/>
        <v>0</v>
      </c>
      <c r="I20" s="7">
        <f t="shared" si="2"/>
        <v>58724</v>
      </c>
      <c r="J20" s="7">
        <f t="shared" si="2"/>
        <v>0</v>
      </c>
      <c r="K20" s="8">
        <f>SUM(K14:K16,K18:K19)</f>
        <v>80531</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5" t="s">
        <v>30</v>
      </c>
      <c r="G26" s="465"/>
      <c r="H26" s="465"/>
      <c r="I26" s="465"/>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f>IF(J29&lt;&gt;0,VLOOKUP($D$7,Info_County_Code,2,FALSE),"")</f>
        <v>12</v>
      </c>
      <c r="D29" s="145" t="s">
        <v>106</v>
      </c>
      <c r="E29" s="116">
        <v>21807</v>
      </c>
      <c r="F29" s="120"/>
      <c r="G29" s="116"/>
      <c r="H29" s="116">
        <v>58724</v>
      </c>
      <c r="I29" s="313"/>
      <c r="J29" s="119">
        <f t="shared" ref="J29:J32" si="3">SUM(E29:I29)</f>
        <v>80531</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G29" sqref="G2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9"/>
      <c r="C1" s="459"/>
      <c r="D1" s="459"/>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Humboldt</v>
      </c>
      <c r="E7" s="16"/>
      <c r="F7" s="95" t="s">
        <v>2</v>
      </c>
      <c r="G7" s="109">
        <f>IF(ISBLANK('1. Information'!D7),"",'1. Information'!D7)</f>
        <v>43460</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2" t="s">
        <v>213</v>
      </c>
      <c r="H12" s="432"/>
      <c r="I12" s="432"/>
      <c r="J12" s="432"/>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7" t="s">
        <v>189</v>
      </c>
      <c r="D14" s="447"/>
      <c r="E14" s="444"/>
      <c r="F14" s="142"/>
      <c r="G14" s="142"/>
      <c r="H14" s="142"/>
      <c r="I14" s="142"/>
      <c r="J14" s="142"/>
      <c r="K14" s="118">
        <f>SUM(F14:J14)</f>
        <v>0</v>
      </c>
      <c r="L14"/>
      <c r="M14"/>
      <c r="U14" s="108"/>
      <c r="V14" s="108"/>
      <c r="W14" s="108"/>
    </row>
    <row r="15" spans="2:23" x14ac:dyDescent="0.25">
      <c r="B15" s="101">
        <v>2</v>
      </c>
      <c r="C15" s="447" t="s">
        <v>188</v>
      </c>
      <c r="D15" s="447"/>
      <c r="E15" s="444"/>
      <c r="F15" s="142"/>
      <c r="G15" s="142"/>
      <c r="H15" s="142"/>
      <c r="I15" s="142"/>
      <c r="J15" s="142"/>
      <c r="K15" s="118">
        <f t="shared" ref="K15:K20" si="0">SUM(F15:J15)</f>
        <v>0</v>
      </c>
      <c r="L15"/>
      <c r="M15"/>
      <c r="U15" s="108"/>
      <c r="V15" s="108"/>
      <c r="W15" s="108"/>
    </row>
    <row r="16" spans="2:23" x14ac:dyDescent="0.25">
      <c r="B16" s="101">
        <v>3</v>
      </c>
      <c r="C16" s="447" t="s">
        <v>123</v>
      </c>
      <c r="D16" s="447"/>
      <c r="E16" s="444"/>
      <c r="F16" s="142"/>
      <c r="G16" s="142"/>
      <c r="H16" s="142"/>
      <c r="I16" s="142"/>
      <c r="J16" s="142"/>
      <c r="K16" s="118">
        <f t="shared" si="0"/>
        <v>0</v>
      </c>
      <c r="L16"/>
      <c r="M16"/>
      <c r="U16" s="108"/>
      <c r="V16" s="108"/>
      <c r="W16" s="108"/>
    </row>
    <row r="17" spans="2:23" x14ac:dyDescent="0.25">
      <c r="B17" s="101">
        <v>4</v>
      </c>
      <c r="C17" s="447" t="s">
        <v>122</v>
      </c>
      <c r="D17" s="447"/>
      <c r="E17" s="444"/>
      <c r="F17" s="142"/>
      <c r="G17" s="142"/>
      <c r="H17" s="142"/>
      <c r="I17" s="142"/>
      <c r="J17" s="142"/>
      <c r="K17" s="118">
        <f t="shared" si="0"/>
        <v>0</v>
      </c>
      <c r="L17"/>
      <c r="M17"/>
      <c r="U17" s="108"/>
      <c r="V17" s="108"/>
      <c r="W17" s="108"/>
    </row>
    <row r="18" spans="2:23" x14ac:dyDescent="0.25">
      <c r="B18" s="101">
        <v>5</v>
      </c>
      <c r="C18" s="447" t="s">
        <v>239</v>
      </c>
      <c r="D18" s="447"/>
      <c r="E18" s="444"/>
      <c r="F18" s="142"/>
      <c r="G18" s="142"/>
      <c r="H18" s="142"/>
      <c r="I18" s="142"/>
      <c r="J18" s="142"/>
      <c r="K18" s="118">
        <f t="shared" si="0"/>
        <v>0</v>
      </c>
      <c r="L18"/>
      <c r="M18"/>
      <c r="U18" s="108"/>
      <c r="V18" s="108"/>
      <c r="W18" s="108"/>
    </row>
    <row r="19" spans="2:23" x14ac:dyDescent="0.25">
      <c r="B19" s="101">
        <v>6</v>
      </c>
      <c r="C19" s="447" t="s">
        <v>240</v>
      </c>
      <c r="D19" s="447"/>
      <c r="E19" s="444"/>
      <c r="F19" s="142"/>
      <c r="G19" s="142"/>
      <c r="H19" s="142"/>
      <c r="I19" s="142"/>
      <c r="J19" s="355"/>
      <c r="K19" s="118">
        <f t="shared" si="0"/>
        <v>0</v>
      </c>
      <c r="L19"/>
      <c r="M19"/>
      <c r="U19" s="108"/>
      <c r="V19" s="108"/>
      <c r="W19" s="108"/>
    </row>
    <row r="20" spans="2:23" x14ac:dyDescent="0.25">
      <c r="B20" s="101">
        <v>7</v>
      </c>
      <c r="C20" s="447" t="s">
        <v>175</v>
      </c>
      <c r="D20" s="447"/>
      <c r="E20" s="447"/>
      <c r="F20" s="121">
        <f>SUM(G28:G47)</f>
        <v>0</v>
      </c>
      <c r="G20" s="121">
        <f>SUM(H28:H47)</f>
        <v>0</v>
      </c>
      <c r="H20" s="122">
        <f t="shared" ref="H20" si="1">SUM(I28:I47)</f>
        <v>150347</v>
      </c>
      <c r="I20" s="122">
        <f>SUM(J28:J47)</f>
        <v>0</v>
      </c>
      <c r="J20" s="119">
        <f>SUM(K28:K47)</f>
        <v>0</v>
      </c>
      <c r="K20" s="118">
        <f t="shared" si="0"/>
        <v>150347</v>
      </c>
      <c r="L20"/>
      <c r="M20"/>
      <c r="U20" s="108"/>
      <c r="V20" s="108"/>
      <c r="W20" s="108"/>
    </row>
    <row r="21" spans="2:23" ht="30.95" customHeight="1" x14ac:dyDescent="0.25">
      <c r="B21" s="101">
        <v>8</v>
      </c>
      <c r="C21" s="466" t="s">
        <v>20</v>
      </c>
      <c r="D21" s="466"/>
      <c r="E21" s="466"/>
      <c r="F21" s="43">
        <f>SUM(F14:F20)</f>
        <v>0</v>
      </c>
      <c r="G21" s="43">
        <f>SUM(G14:G20)</f>
        <v>0</v>
      </c>
      <c r="H21" s="7">
        <f t="shared" ref="H21:J21" si="2">SUM(H14:H20)</f>
        <v>150347</v>
      </c>
      <c r="I21" s="7">
        <f t="shared" si="2"/>
        <v>0</v>
      </c>
      <c r="J21" s="299">
        <f t="shared" si="2"/>
        <v>0</v>
      </c>
      <c r="K21" s="7">
        <f t="shared" ref="K21" si="3">SUM(K14:K20)</f>
        <v>150347</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5" t="s">
        <v>224</v>
      </c>
      <c r="E26" s="465"/>
      <c r="F26" s="465"/>
      <c r="G26" s="344" t="s">
        <v>214</v>
      </c>
      <c r="H26" s="465" t="s">
        <v>213</v>
      </c>
      <c r="I26" s="465"/>
      <c r="J26" s="465"/>
      <c r="K26" s="465"/>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12</v>
      </c>
      <c r="D28" s="417" t="s">
        <v>337</v>
      </c>
      <c r="E28" s="417"/>
      <c r="F28" s="416" t="s">
        <v>177</v>
      </c>
      <c r="G28" s="117"/>
      <c r="H28" s="126"/>
      <c r="I28" s="126">
        <v>150347</v>
      </c>
      <c r="J28" s="117"/>
      <c r="K28" s="312"/>
      <c r="L28" s="316">
        <f>SUM(G28:K28)</f>
        <v>150347</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2018-12-20T22:28:49Z</cp:lastPrinted>
  <dcterms:created xsi:type="dcterms:W3CDTF">2017-07-05T19:48:18Z</dcterms:created>
  <dcterms:modified xsi:type="dcterms:W3CDTF">2019-05-21T20:57:08Z</dcterms:modified>
</cp:coreProperties>
</file>