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activeTab="3"/>
  </bookViews>
  <sheets>
    <sheet name="DHCS Only" sheetId="21"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CSS'!$A$1:$L$47</definedName>
    <definedName name="_xlnm.Print_Area" localSheetId="5">'4. PEI'!$A$1:$Q$40</definedName>
    <definedName name="_xlnm.Print_Area" localSheetId="6">'5. INN'!$A$1:$P$35</definedName>
    <definedName name="_xlnm.Print_Area" localSheetId="7">'6. WET'!$B$2:$L$32</definedName>
    <definedName name="_xlnm.Print_Area" localSheetId="8">'7. CFTN'!$B$2:$L$47</definedName>
    <definedName name="_xlnm.Print_Area" localSheetId="9">'8. WET RP, HP'!$B$2:$J$15</definedName>
    <definedName name="_xlnm.Print_Area" localSheetId="10">'9. Adjustment (MHSA)'!$A$1:$G$85</definedName>
    <definedName name="_xlnm.Print_Area" localSheetId="13">'drop down fields'!$A$1:$N$60</definedName>
    <definedName name="_xlnm.Print_Area" localSheetId="14">'E-1 CountyState2017'!$A$1:$G$83</definedName>
    <definedName name="_xlnm.Print_Area" localSheetId="1">Instructions!$A$5:$K$19</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2" l="1"/>
  <c r="F17" i="2" l="1"/>
  <c r="H42" i="22" l="1"/>
  <c r="H35" i="22"/>
  <c r="H44" i="22"/>
  <c r="H33" i="22"/>
  <c r="G45" i="22"/>
  <c r="F21" i="22"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7" i="2" l="1"/>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L44" i="22"/>
  <c r="L45" i="22"/>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C114" i="3"/>
  <c r="P116" i="3"/>
  <c r="C113" i="3" s="1"/>
  <c r="C116" i="3" s="1"/>
  <c r="P112" i="3"/>
  <c r="C109" i="3" s="1"/>
  <c r="C112" i="3" s="1"/>
  <c r="P108" i="3"/>
  <c r="C105" i="3" s="1"/>
  <c r="C108" i="3" s="1"/>
  <c r="P104" i="3"/>
  <c r="C101" i="3" s="1"/>
  <c r="C104" i="3" s="1"/>
  <c r="P100" i="3"/>
  <c r="C97" i="3" s="1"/>
  <c r="C100" i="3" s="1"/>
  <c r="P128" i="3"/>
  <c r="C125" i="3" s="1"/>
  <c r="C126" i="3" s="1"/>
  <c r="P132" i="3"/>
  <c r="C111" i="3"/>
  <c r="C115" i="3"/>
  <c r="C122" i="3"/>
  <c r="C123" i="3"/>
  <c r="C128" i="3"/>
  <c r="P96" i="3"/>
  <c r="C93" i="3" s="1"/>
  <c r="C96" i="3" s="1"/>
  <c r="C94" i="3"/>
  <c r="C90" i="3"/>
  <c r="C91" i="3"/>
  <c r="P36" i="3"/>
  <c r="C33" i="3" s="1"/>
  <c r="C107" i="3" l="1"/>
  <c r="C102" i="3"/>
  <c r="C119" i="3"/>
  <c r="C103" i="3"/>
  <c r="C127" i="3"/>
  <c r="C99" i="3"/>
  <c r="C106" i="3"/>
  <c r="C110" i="3"/>
  <c r="C129" i="3"/>
  <c r="C132" i="3" s="1"/>
  <c r="C118" i="3"/>
  <c r="C95" i="3"/>
  <c r="C98" i="3"/>
  <c r="C131" i="3"/>
  <c r="C130" i="3"/>
  <c r="B3" i="20"/>
  <c r="B4" i="20"/>
  <c r="K30" i="19" l="1"/>
  <c r="K35" i="19" s="1"/>
  <c r="M27" i="19"/>
  <c r="D17" i="19" s="1"/>
  <c r="H27" i="19"/>
  <c r="G27" i="19"/>
  <c r="J15" i="7" l="1"/>
  <c r="C15" i="7" s="1"/>
  <c r="J14" i="7"/>
  <c r="C14" i="7" s="1"/>
  <c r="K19" i="6"/>
  <c r="K18" i="6"/>
  <c r="K17" i="6"/>
  <c r="K16" i="6"/>
  <c r="K15" i="6"/>
  <c r="K14" i="6"/>
  <c r="L29" i="6"/>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C32" i="5" s="1"/>
  <c r="J31" i="5"/>
  <c r="C31" i="5" s="1"/>
  <c r="J30" i="5"/>
  <c r="C30" i="5" s="1"/>
  <c r="J29" i="5"/>
  <c r="C29" i="5" s="1"/>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4" i="22" l="1"/>
  <c r="C41" i="22"/>
  <c r="C37" i="22"/>
  <c r="C42" i="22"/>
  <c r="C44" i="22"/>
  <c r="C40" i="22"/>
  <c r="C43" i="22"/>
  <c r="C39" i="22"/>
  <c r="C35" i="22"/>
  <c r="C38" i="22"/>
  <c r="C36" i="22"/>
  <c r="C45"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C28" i="5" s="1"/>
  <c r="D7" i="3"/>
  <c r="D7" i="2"/>
  <c r="C71" i="17"/>
  <c r="B71" i="17"/>
  <c r="E71" i="17" s="1"/>
  <c r="E70" i="17"/>
  <c r="C69" i="17"/>
  <c r="B69" i="17"/>
  <c r="E69" i="17" s="1"/>
  <c r="C28" i="6" l="1"/>
  <c r="C29" i="6"/>
  <c r="C37" i="2"/>
  <c r="C45" i="2"/>
  <c r="C38" i="2"/>
  <c r="C46" i="2"/>
  <c r="C39" i="2"/>
  <c r="C40" i="2"/>
  <c r="C36" i="2"/>
  <c r="C41" i="2"/>
  <c r="C42" i="2"/>
  <c r="C43" i="2"/>
  <c r="C44" i="2"/>
  <c r="C84" i="10"/>
  <c r="C83" i="10"/>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2" i="3"/>
  <c r="C83" i="3"/>
  <c r="C70" i="3"/>
  <c r="C71" i="3"/>
  <c r="C66" i="3"/>
  <c r="C67" i="3"/>
  <c r="C60" i="3"/>
  <c r="C58" i="3"/>
  <c r="C50" i="3"/>
  <c r="C52" i="3"/>
  <c r="C46" i="3"/>
  <c r="C47" i="3"/>
  <c r="C44" i="3"/>
  <c r="C43" i="3"/>
  <c r="C38" i="3"/>
  <c r="C39" i="3"/>
  <c r="C63" i="3" l="1"/>
  <c r="C78" i="3"/>
  <c r="C75" i="3"/>
  <c r="C76" i="3"/>
  <c r="C55" i="3"/>
  <c r="C87" i="3"/>
  <c r="C79" i="3"/>
  <c r="C64" i="3"/>
  <c r="C56" i="3"/>
  <c r="C86"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l="1"/>
  <c r="G20" i="6"/>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F22" i="3" s="1"/>
  <c r="G19" i="3"/>
  <c r="H18" i="3"/>
  <c r="H22" i="3" s="1"/>
  <c r="I18" i="3"/>
  <c r="I22" i="3" s="1"/>
  <c r="J18" i="3"/>
  <c r="J22" i="3" s="1"/>
  <c r="J19" i="3"/>
  <c r="G18" i="3"/>
  <c r="G22" i="3" s="1"/>
  <c r="H19" i="3"/>
  <c r="I19" i="3"/>
  <c r="K18" i="3" l="1"/>
  <c r="K19" i="3"/>
  <c r="D40" i="19" s="1"/>
  <c r="F30" i="19"/>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<sst xmlns="http://schemas.openxmlformats.org/spreadsheetml/2006/main" count="805" uniqueCount="355">
  <si>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</si>
  <si>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</si>
  <si>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</si>
  <si>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</si>
  <si>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</si>
  <si>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</si>
  <si>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</si>
  <si>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</si>
  <si>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</si>
  <si>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</si>
  <si>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</si>
  <si>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</si>
  <si>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</si>
  <si>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</si>
  <si>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</si>
  <si>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</si>
  <si>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</si>
  <si>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</si>
  <si>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</si>
  <si>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</si>
  <si>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</si>
  <si>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</si>
  <si>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</si>
  <si>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</si>
  <si>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</si>
  <si>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</si>
  <si>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</si>
  <si>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</si>
  <si>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</si>
  <si>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</si>
  <si>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</si>
  <si>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</si>
  <si>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</si>
  <si>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</si>
  <si>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</si>
  <si>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</si>
  <si>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</si>
  <si>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</si>
  <si>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</si>
  <si>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</si>
  <si>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</si>
  <si>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</si>
  <si>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</si>
  <si>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</si>
  <si>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</si>
  <si>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</si>
  <si>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</si>
  <si>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</si>
  <si>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</si>
  <si>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</si>
  <si>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</si>
  <si>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</si>
  <si>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</si>
  <si>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</si>
  <si>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</si>
  <si>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</si>
  <si>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</si>
  <si>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</si>
  <si>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</si>
  <si>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</si>
  <si>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</si>
  <si>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</si>
  <si>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</si>
  <si>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</si>
  <si>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</si>
  <si>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</si>
  <si>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</si>
  <si>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</si>
  <si>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</si>
  <si>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</si>
  <si>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</si>
  <si>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</si>
  <si>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</si>
  <si>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</si>
  <si>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</si>
  <si>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</si>
  <si>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</si>
  <si>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</si>
  <si>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</si>
  <si>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</si>
  <si>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</si>
  <si>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</si>
  <si>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</si>
  <si>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</si>
  <si>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</si>
  <si>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</si>
  <si>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</si>
  <si>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</si>
  <si>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</si>
  <si>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</si>
  <si>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</si>
  <si>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</si>
  <si>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</si>
  <si>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</si>
  <si>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</si>
  <si>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</si>
  <si>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</si>
  <si>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</si>
  <si>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</si>
  <si>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</si>
  <si>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</si>
  <si>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</si>
  <si>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</si>
  <si>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</si>
  <si>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</si>
  <si>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</si>
  <si>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</si>
  <si>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</si>
  <si>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</si>
  <si>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</si>
  <si>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</si>
  <si>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</si>
  <si>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</si>
  <si>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</si>
  <si>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</si>
  <si>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</si>
  <si>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</si>
  <si>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</si>
  <si>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</si>
  <si>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</si>
  <si>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</si>
  <si>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</si>
  <si>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</si>
  <si>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</si>
  <si>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</si>
  <si>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</si>
  <si>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</si>
  <si>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</si>
  <si>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</si>
  <si>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</si>
  <si>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</si>
  <si>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</si>
  <si>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</si>
  <si>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</si>
  <si>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</si>
  <si>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</si>
  <si>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</si>
  <si>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</si>
  <si>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</si>
  <si>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</si>
  <si>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</si>
  <si>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</si>
  <si>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</si>
  <si>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</si>
  <si>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</si>
  <si>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</si>
  <si>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</si>
  <si>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</si>
  <si>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</si>
  <si>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</si>
  <si>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</si>
  <si>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</si>
  <si>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</si>
  <si>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</si>
  <si>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</si>
  <si>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</si>
  <si>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</si>
  <si>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</si>
  <si>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</si>
  <si>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</si>
  <si>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</si>
  <si>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</si>
  <si>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</si>
  <si>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</si>
  <si>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</si>
  <si>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</si>
  <si>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</si>
  <si>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</si>
  <si>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</si>
  <si>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</si>
  <si>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</si>
  <si>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</si>
  <si>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</si>
  <si>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</si>
  <si>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</si>
  <si>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</si>
  <si>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</si>
  <si>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</si>
  <si>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</si>
  <si>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</si>
  <si>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</si>
  <si>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</si>
  <si>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</si>
  <si>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</si>
  <si>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</si>
  <si>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</si>
  <si>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</si>
  <si>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</si>
  <si>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</si>
  <si>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</si>
  <si>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</si>
  <si>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</si>
  <si>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</si>
  <si>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</si>
  <si>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</si>
  <si>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</si>
  <si>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</si>
  <si>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</si>
  <si>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</si>
  <si>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</si>
  <si>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</si>
  <si>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</si>
  <si>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</si>
  <si>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</si>
  <si>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</si>
  <si>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</si>
  <si>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</si>
  <si>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</si>
  <si>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</si>
  <si>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</si>
  <si>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</si>
  <si>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</si>
  <si>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</si>
  <si>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</si>
  <si>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</si>
  <si>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</si>
  <si>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</si>
  <si>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</si>
  <si>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</si>
  <si>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</si>
  <si>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</si>
  <si>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</si>
  <si>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</si>
  <si>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</si>
  <si>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</si>
  <si>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</si>
  <si>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</si>
  <si>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</si>
  <si>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</si>
  <si>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</si>
  <si>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</si>
  <si>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</si>
  <si>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</si>
  <si>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</si>
  <si>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</si>
  <si>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</si>
  <si>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</si>
  <si>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</si>
  <si>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</si>
  <si>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</si>
  <si>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</si>
  <si>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</si>
  <si>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</si>
  <si>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</si>
  <si>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</si>
  <si>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</si>
  <si>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</si>
  <si>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</si>
  <si>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</si>
  <si>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</si>
  <si>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</si>
  <si>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</si>
  <si>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</si>
  <si>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</si>
  <si>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</si>
  <si>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</si>
  <si>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</si>
  <si>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</si>
  <si>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</si>
  <si>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</si>
  <si>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</si>
  <si>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</si>
  <si>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</si>
  <si>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</si>
  <si>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Carlsbad</t>
  </si>
  <si>
    <t>Oceanside</t>
  </si>
  <si>
    <t>Vista</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</si>
  <si>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</si>
  <si>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</si>
  <si>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</si>
  <si>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</si>
  <si>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</si>
  <si>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</si>
  <si>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</si>
  <si>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</si>
  <si>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</si>
  <si>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</si>
  <si>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</si>
  <si>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</si>
  <si>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</si>
  <si>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</si>
  <si>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</si>
  <si>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</si>
  <si>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</si>
  <si>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</si>
  <si>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</si>
  <si>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</si>
  <si>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</si>
  <si>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</si>
  <si>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</si>
  <si>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r>
      <t xml:space="preserve">Counties should </t>
    </r>
    <r>
      <rPr>
        <b/>
        <sz val="12"/>
        <color theme="1"/>
        <rFont val="Arial"/>
        <family val="2"/>
      </rPr>
      <t>verify that sections three through six of the Component Summary</t>
    </r>
    <r>
      <rPr>
        <sz val="12"/>
        <color theme="1"/>
        <rFont val="Arial"/>
        <family val="2"/>
      </rPr>
      <t xml:space="preserve"> worksheet accurately reflect the expenditures reported on the component and adjustment worksheets.</t>
    </r>
  </si>
  <si>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</si>
  <si>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</si>
  <si>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</si>
  <si>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</si>
  <si>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</si>
  <si>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</si>
  <si>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</si>
  <si>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</si>
  <si>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</si>
  <si>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</si>
  <si>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</si>
  <si>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</si>
  <si>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</si>
  <si>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</si>
  <si>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</si>
  <si>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</si>
  <si>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</si>
  <si>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</si>
  <si>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t>Section two:</t>
    </r>
    <r>
      <rPr>
        <sz val="12"/>
        <color theme="1"/>
        <rFont val="Arial"/>
        <family val="2"/>
      </rPr>
      <t xml:space="preserve"> Enter the component revenue received from prudent reserve transfers. The worksheet is set up to distribute the interest reported in section one across CSS, PEI, and INN components according to 76%, 19% and 5%.</t>
    </r>
  </si>
  <si>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</si>
  <si>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</si>
  <si>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</si>
  <si>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</si>
  <si>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</si>
  <si>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</si>
  <si>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</si>
  <si>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</si>
  <si>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</si>
  <si>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</si>
  <si>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</si>
  <si>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</si>
  <si>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301 E 13th Street</t>
  </si>
  <si>
    <t>Manjit Kaur</t>
  </si>
  <si>
    <t>Fiscal Manager</t>
  </si>
  <si>
    <t>mkaur@co.merced.ca.us</t>
  </si>
  <si>
    <t>209-381-6811</t>
  </si>
  <si>
    <t>Wraparound, Empowerment, Compassion and Needs (WECAN)</t>
  </si>
  <si>
    <t>Community Assitance Recovery Enterprise (CARE)</t>
  </si>
  <si>
    <t>COPE (Outreach and Engagement)</t>
  </si>
  <si>
    <t>Dual Diagnosis Program</t>
  </si>
  <si>
    <t>Westside Transitional Center</t>
  </si>
  <si>
    <t>SEACAP (GSD)</t>
  </si>
  <si>
    <t>CUBE</t>
  </si>
  <si>
    <t>CSS- Adults (Mental Health Court)</t>
  </si>
  <si>
    <t>Wellness Center</t>
  </si>
  <si>
    <t>CSS - Childerns</t>
  </si>
  <si>
    <t>Youth Transage (JBHC)</t>
  </si>
  <si>
    <t>Mobile Crisis</t>
  </si>
  <si>
    <t>Older Adult SOC</t>
  </si>
  <si>
    <t>Capital Facilities</t>
  </si>
  <si>
    <t>Interest Earned in FY 13-14</t>
  </si>
  <si>
    <t>Interest Earned in FY 17-18</t>
  </si>
  <si>
    <t>Caring Kids</t>
  </si>
  <si>
    <t>iMatter</t>
  </si>
  <si>
    <t>Youth to Youth Middle School Mentoring Program</t>
  </si>
  <si>
    <t>Transition to Independence Process Program</t>
  </si>
  <si>
    <t>Mental Health and Police in Schools</t>
  </si>
  <si>
    <t>Integrated Primary Care Program and Cultural Broker</t>
  </si>
  <si>
    <t>PERLS</t>
  </si>
  <si>
    <t>Cultural and Linguistic Outreach Veterans Program</t>
  </si>
  <si>
    <t>PEI Strengthening Families</t>
  </si>
  <si>
    <t>Training, Technical Assistance and Capacity Building &amp; NAMI</t>
  </si>
  <si>
    <t>Stigma and Discrimination Reduction and Suicide Prevention Programs</t>
  </si>
  <si>
    <t>Innovative Strategist Network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</si>
</sst>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
      <b/>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9">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xf numFmtId="43" fontId="18" fillId="0" borderId="0" applyFont="0" applyFill="0" applyBorder="0" applyAlignment="0" applyProtection="0"/>
  </cellStyleXfs>
  <cellXfs count="477">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0" fontId="23" fillId="0" borderId="27" xfId="4"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44" fillId="0" borderId="0" xfId="0" applyFont="1" applyBorder="1"/>
    <xf numFmtId="0" fontId="44" fillId="0" borderId="0" xfId="0" applyFont="1" applyBorder="1" applyAlignment="1">
      <alignment horizontal="right"/>
    </xf>
    <xf numFmtId="0" fontId="0" fillId="0" borderId="0" xfId="0" applyBorder="1"/>
    <xf numFmtId="1" fontId="0" fillId="0" borderId="0" xfId="0" applyNumberFormat="1" applyBorder="1"/>
    <xf numFmtId="43" fontId="0" fillId="0" borderId="0" xfId="8" applyFont="1" applyBorder="1"/>
    <xf numFmtId="9" fontId="44" fillId="0" borderId="0" xfId="1" applyFont="1" applyBorder="1"/>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9">
    <cellStyle name="Comma" xfId="8" builtinId="3"/>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3-4</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kaur@co.merced.ca.u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workbookViewId="0">
      <selection activeCell="G22" sqref="G22"/>
    </sheetView>
  </sheetViews>
  <sheetFormatPr defaultColWidth="9.140625" defaultRowHeight="15" x14ac:dyDescent="0.2"/>
  <cols>
    <col min="1" max="16384" width="9.140625" style="237"/>
  </cols>
  <sheetData>
    <row r="1" spans="1:6" ht="15.75" x14ac:dyDescent="0.25">
      <c r="A1" s="52" t="s">
        <v>273</v>
      </c>
    </row>
    <row r="2" spans="1:6" x14ac:dyDescent="0.2">
      <c r="A2" s="238" t="s">
        <v>276</v>
      </c>
    </row>
    <row r="3" spans="1:6" x14ac:dyDescent="0.2">
      <c r="A3" s="237" t="s">
        <v>274</v>
      </c>
    </row>
    <row r="16" spans="1:6" x14ac:dyDescent="0.2">
      <c r="F16" s="240"/>
    </row>
    <row r="26" spans="5:6" x14ac:dyDescent="0.2">
      <c r="E26" s="241"/>
    </row>
    <row r="28" spans="5:6" x14ac:dyDescent="0.2">
      <c r="F28" s="239"/>
    </row>
  </sheetData>
  <sheetProtection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B1:T16"/>
  <sheetViews>
    <sheetView showGridLines="0" zoomScale="70" zoomScaleNormal="70" workbookViewId="0">
      <selection activeCell="D9" sqref="D9"/>
    </sheetView>
  </sheetViews>
  <sheetFormatPr defaultColWidth="9.140625" defaultRowHeight="15.75"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9" width="19.42578125" customWidth="1"/>
    <col min="20" max="22" width="23.7109375" style="108" customWidth="1"/>
    <col min="23" max="23" width="21.28515625" style="108" customWidth="1"/>
    <col min="24" max="24" width="22.140625" style="108" customWidth="1"/>
    <col min="25" max="16384" width="9.140625" style="108"/>
  </cols>
  <sheetData>
    <row r="1" spans="2:20" x14ac:dyDescent="0.25">
      <c r="B1" s="465"/>
      <c r="C1" s="465"/>
      <c r="D1" s="465"/>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293</v>
      </c>
      <c r="C5" s="1"/>
      <c r="D5" s="1"/>
      <c r="E5" s="1"/>
      <c r="F5" s="1"/>
      <c r="G5" s="1"/>
      <c r="H5" s="1"/>
    </row>
    <row r="6" spans="2:20" x14ac:dyDescent="0.25">
      <c r="D6" s="68"/>
      <c r="E6" s="68"/>
      <c r="F6" s="68"/>
      <c r="G6" s="68"/>
      <c r="H6" s="68"/>
    </row>
    <row r="7" spans="2:20" x14ac:dyDescent="0.25">
      <c r="B7" s="453" t="s">
        <v>1</v>
      </c>
      <c r="C7" s="453"/>
      <c r="D7" s="9" t="str">
        <f>IF(ISBLANK('1. Information'!D8),"",'1. Information'!D8)</f>
        <v>Merced</v>
      </c>
      <c r="F7" s="94" t="s">
        <v>2</v>
      </c>
      <c r="G7" s="109">
        <f>IF(ISBLANK('1. Information'!D7),"",'1. Information'!D7)</f>
        <v>43438</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305</v>
      </c>
      <c r="E12" s="342" t="s">
        <v>28</v>
      </c>
      <c r="F12" s="464" t="s">
        <v>30</v>
      </c>
      <c r="G12" s="464"/>
      <c r="H12" s="464"/>
      <c r="I12" s="464"/>
      <c r="J12" s="331"/>
      <c r="R12" s="26"/>
      <c r="S12" s="26"/>
      <c r="T12" s="26"/>
    </row>
    <row r="13" spans="2:20" ht="80.25" customHeight="1" x14ac:dyDescent="0.25">
      <c r="B13" s="76" t="s">
        <v>134</v>
      </c>
      <c r="C13" s="78" t="s">
        <v>195</v>
      </c>
      <c r="D13" s="21" t="s">
        <v>130</v>
      </c>
      <c r="E13" s="30" t="s">
        <v>304</v>
      </c>
      <c r="F13" s="65" t="s">
        <v>5</v>
      </c>
      <c r="G13" s="64" t="s">
        <v>6</v>
      </c>
      <c r="H13" s="64" t="s">
        <v>31</v>
      </c>
      <c r="I13" s="64" t="s">
        <v>15</v>
      </c>
      <c r="J13" s="306" t="s">
        <v>281</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sheetData>
  <sheetProtection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B1:G112"/>
  <sheetViews>
    <sheetView showGridLines="0" zoomScale="70" zoomScaleNormal="70" workbookViewId="0">
      <selection activeCell="G87" sqref="G87"/>
    </sheetView>
  </sheetViews>
  <sheetFormatPr defaultColWidth="9.140625" defaultRowHeight="15"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2" width="11.7109375" style="108" customWidth="1"/>
    <col min="13" max="16384" width="9.140625" style="108"/>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53" t="s">
        <v>1</v>
      </c>
      <c r="C7" s="453"/>
      <c r="D7" s="9" t="str">
        <f>IF(ISBLANK('1. Information'!D8),"",'1. Information'!D8)</f>
        <v>Merced</v>
      </c>
      <c r="E7" s="3"/>
      <c r="F7" s="97" t="s">
        <v>178</v>
      </c>
      <c r="G7" s="109">
        <f>IF(ISBLANK('1. Information'!D7),"",'1. Information'!D7)</f>
        <v>43438</v>
      </c>
    </row>
    <row r="8" spans="2:7" ht="15.75" x14ac:dyDescent="0.25">
      <c r="B8" s="6"/>
      <c r="C8" s="6"/>
      <c r="D8" s="6"/>
      <c r="E8" s="3"/>
      <c r="F8" s="86"/>
      <c r="G8" s="111"/>
    </row>
    <row r="9" spans="2:7" ht="18.75" hidden="1" thickBot="1" x14ac:dyDescent="0.3">
      <c r="B9" s="228" t="s">
        <v>260</v>
      </c>
      <c r="C9" s="41"/>
      <c r="D9" s="41"/>
      <c r="E9" s="55"/>
      <c r="F9" s="87"/>
      <c r="G9" s="113"/>
    </row>
    <row r="10" spans="2:7" ht="16.5" hidden="1" thickTop="1" x14ac:dyDescent="0.25">
      <c r="B10" s="6"/>
      <c r="C10" s="6"/>
      <c r="D10" s="6"/>
      <c r="E10" s="3"/>
      <c r="F10" s="86"/>
      <c r="G10" s="111"/>
    </row>
    <row r="11" spans="2:7" hidden="1" x14ac:dyDescent="0.2">
      <c r="C11" s="88" t="s">
        <v>27</v>
      </c>
      <c r="D11" s="88" t="s">
        <v>29</v>
      </c>
      <c r="E11" s="88" t="s">
        <v>32</v>
      </c>
      <c r="F11" s="88" t="s">
        <v>246</v>
      </c>
      <c r="G11" s="115" t="s">
        <v>247</v>
      </c>
    </row>
    <row r="12" spans="2:7" ht="15.75" hidden="1" x14ac:dyDescent="0.2">
      <c r="B12" s="76" t="s">
        <v>134</v>
      </c>
      <c r="C12" s="56" t="s">
        <v>11</v>
      </c>
      <c r="D12" s="31" t="s">
        <v>111</v>
      </c>
      <c r="E12" s="31" t="s">
        <v>110</v>
      </c>
      <c r="F12" s="31" t="s">
        <v>112</v>
      </c>
      <c r="G12" s="31" t="s">
        <v>113</v>
      </c>
    </row>
    <row r="13" spans="2:7" hidden="1" x14ac:dyDescent="0.2">
      <c r="B13" s="101">
        <v>1</v>
      </c>
      <c r="C13" s="132" t="str">
        <f t="shared" ref="C13:C42" si="0">IF(F13&lt;&gt;0,VLOOKUP($D$7,Info_County_Code,2,FALSE),"")</f>
        <v/>
      </c>
      <c r="D13" s="149"/>
      <c r="E13" s="337"/>
      <c r="F13" s="336"/>
      <c r="G13" s="151"/>
    </row>
    <row r="14" spans="2:7" hidden="1" x14ac:dyDescent="0.2">
      <c r="B14" s="101">
        <v>2</v>
      </c>
      <c r="C14" s="132" t="str">
        <f t="shared" si="0"/>
        <v/>
      </c>
      <c r="D14" s="149"/>
      <c r="E14" s="133"/>
      <c r="F14" s="150"/>
      <c r="G14" s="151"/>
    </row>
    <row r="15" spans="2:7" hidden="1" x14ac:dyDescent="0.2">
      <c r="B15" s="101">
        <v>3</v>
      </c>
      <c r="C15" s="132" t="str">
        <f t="shared" si="0"/>
        <v/>
      </c>
      <c r="D15" s="149"/>
      <c r="E15" s="133"/>
      <c r="F15" s="150"/>
      <c r="G15" s="151"/>
    </row>
    <row r="16" spans="2:7" hidden="1" x14ac:dyDescent="0.2">
      <c r="B16" s="101">
        <v>4</v>
      </c>
      <c r="C16" s="132" t="str">
        <f t="shared" si="0"/>
        <v/>
      </c>
      <c r="D16" s="149"/>
      <c r="E16" s="133"/>
      <c r="F16" s="150"/>
      <c r="G16" s="151"/>
    </row>
    <row r="17" spans="2:7" hidden="1" x14ac:dyDescent="0.2">
      <c r="B17" s="101">
        <v>5</v>
      </c>
      <c r="C17" s="132" t="str">
        <f t="shared" si="0"/>
        <v/>
      </c>
      <c r="D17" s="149"/>
      <c r="E17" s="133"/>
      <c r="F17" s="152"/>
      <c r="G17" s="151"/>
    </row>
    <row r="18" spans="2:7" hidden="1" x14ac:dyDescent="0.2">
      <c r="B18" s="101">
        <v>6</v>
      </c>
      <c r="C18" s="132" t="str">
        <f t="shared" si="0"/>
        <v/>
      </c>
      <c r="D18" s="149"/>
      <c r="E18" s="133"/>
      <c r="F18" s="152"/>
      <c r="G18" s="151"/>
    </row>
    <row r="19" spans="2:7" hidden="1" x14ac:dyDescent="0.2">
      <c r="B19" s="101">
        <v>7</v>
      </c>
      <c r="C19" s="132" t="str">
        <f t="shared" si="0"/>
        <v/>
      </c>
      <c r="D19" s="149"/>
      <c r="E19" s="133"/>
      <c r="F19" s="152"/>
      <c r="G19" s="151"/>
    </row>
    <row r="20" spans="2:7" hidden="1" x14ac:dyDescent="0.2">
      <c r="B20" s="101">
        <v>8</v>
      </c>
      <c r="C20" s="132" t="str">
        <f t="shared" si="0"/>
        <v/>
      </c>
      <c r="D20" s="149"/>
      <c r="E20" s="133"/>
      <c r="F20" s="152"/>
      <c r="G20" s="151"/>
    </row>
    <row r="21" spans="2:7" hidden="1" x14ac:dyDescent="0.2">
      <c r="B21" s="101">
        <v>9</v>
      </c>
      <c r="C21" s="132" t="str">
        <f t="shared" si="0"/>
        <v/>
      </c>
      <c r="D21" s="149"/>
      <c r="E21" s="133"/>
      <c r="F21" s="152"/>
      <c r="G21" s="151"/>
    </row>
    <row r="22" spans="2:7" hidden="1" x14ac:dyDescent="0.2">
      <c r="B22" s="101">
        <v>10</v>
      </c>
      <c r="C22" s="132" t="str">
        <f t="shared" si="0"/>
        <v/>
      </c>
      <c r="D22" s="149"/>
      <c r="E22" s="133"/>
      <c r="F22" s="152"/>
      <c r="G22" s="151"/>
    </row>
    <row r="23" spans="2:7" hidden="1" x14ac:dyDescent="0.2">
      <c r="B23" s="254">
        <v>11</v>
      </c>
      <c r="C23" s="132" t="str">
        <f t="shared" si="0"/>
        <v/>
      </c>
      <c r="D23" s="149"/>
      <c r="E23" s="133"/>
      <c r="F23" s="150"/>
      <c r="G23" s="151"/>
    </row>
    <row r="24" spans="2:7" hidden="1" x14ac:dyDescent="0.2">
      <c r="B24" s="254">
        <v>12</v>
      </c>
      <c r="C24" s="132" t="str">
        <f t="shared" si="0"/>
        <v/>
      </c>
      <c r="D24" s="149"/>
      <c r="E24" s="133"/>
      <c r="F24" s="150"/>
      <c r="G24" s="151"/>
    </row>
    <row r="25" spans="2:7" hidden="1" x14ac:dyDescent="0.2">
      <c r="B25" s="254">
        <v>13</v>
      </c>
      <c r="C25" s="132" t="str">
        <f t="shared" si="0"/>
        <v/>
      </c>
      <c r="D25" s="149"/>
      <c r="E25" s="133"/>
      <c r="F25" s="150"/>
      <c r="G25" s="151"/>
    </row>
    <row r="26" spans="2:7" hidden="1" x14ac:dyDescent="0.2">
      <c r="B26" s="254">
        <v>14</v>
      </c>
      <c r="C26" s="132" t="str">
        <f t="shared" si="0"/>
        <v/>
      </c>
      <c r="D26" s="149"/>
      <c r="E26" s="133"/>
      <c r="F26" s="150"/>
      <c r="G26" s="151"/>
    </row>
    <row r="27" spans="2:7" hidden="1" x14ac:dyDescent="0.2">
      <c r="B27" s="254">
        <v>15</v>
      </c>
      <c r="C27" s="132" t="str">
        <f t="shared" si="0"/>
        <v/>
      </c>
      <c r="D27" s="149"/>
      <c r="E27" s="133"/>
      <c r="F27" s="152"/>
      <c r="G27" s="151"/>
    </row>
    <row r="28" spans="2:7" hidden="1" x14ac:dyDescent="0.2">
      <c r="B28" s="254">
        <v>16</v>
      </c>
      <c r="C28" s="132" t="str">
        <f t="shared" si="0"/>
        <v/>
      </c>
      <c r="D28" s="149"/>
      <c r="E28" s="133"/>
      <c r="F28" s="152"/>
      <c r="G28" s="151"/>
    </row>
    <row r="29" spans="2:7" hidden="1" x14ac:dyDescent="0.2">
      <c r="B29" s="254">
        <v>17</v>
      </c>
      <c r="C29" s="132" t="str">
        <f t="shared" si="0"/>
        <v/>
      </c>
      <c r="D29" s="149"/>
      <c r="E29" s="133"/>
      <c r="F29" s="152"/>
      <c r="G29" s="151"/>
    </row>
    <row r="30" spans="2:7" hidden="1" x14ac:dyDescent="0.2">
      <c r="B30" s="254">
        <v>18</v>
      </c>
      <c r="C30" s="132" t="str">
        <f t="shared" si="0"/>
        <v/>
      </c>
      <c r="D30" s="149"/>
      <c r="E30" s="133"/>
      <c r="F30" s="152"/>
      <c r="G30" s="151"/>
    </row>
    <row r="31" spans="2:7" hidden="1" x14ac:dyDescent="0.2">
      <c r="B31" s="254">
        <v>19</v>
      </c>
      <c r="C31" s="132" t="str">
        <f t="shared" si="0"/>
        <v/>
      </c>
      <c r="D31" s="149"/>
      <c r="E31" s="133"/>
      <c r="F31" s="152"/>
      <c r="G31" s="151"/>
    </row>
    <row r="32" spans="2:7" hidden="1" x14ac:dyDescent="0.2">
      <c r="B32" s="254">
        <v>20</v>
      </c>
      <c r="C32" s="132" t="str">
        <f t="shared" si="0"/>
        <v/>
      </c>
      <c r="D32" s="149"/>
      <c r="E32" s="133"/>
      <c r="F32" s="152"/>
      <c r="G32" s="151"/>
    </row>
    <row r="33" spans="2:7" hidden="1" x14ac:dyDescent="0.2">
      <c r="B33" s="254">
        <v>21</v>
      </c>
      <c r="C33" s="132" t="str">
        <f t="shared" si="0"/>
        <v/>
      </c>
      <c r="D33" s="149"/>
      <c r="E33" s="133"/>
      <c r="F33" s="150"/>
      <c r="G33" s="151"/>
    </row>
    <row r="34" spans="2:7" hidden="1" x14ac:dyDescent="0.2">
      <c r="B34" s="254">
        <v>22</v>
      </c>
      <c r="C34" s="132" t="str">
        <f t="shared" si="0"/>
        <v/>
      </c>
      <c r="D34" s="149"/>
      <c r="E34" s="133"/>
      <c r="F34" s="150"/>
      <c r="G34" s="151"/>
    </row>
    <row r="35" spans="2:7" hidden="1" x14ac:dyDescent="0.2">
      <c r="B35" s="254">
        <v>23</v>
      </c>
      <c r="C35" s="132" t="str">
        <f t="shared" si="0"/>
        <v/>
      </c>
      <c r="D35" s="149"/>
      <c r="E35" s="133"/>
      <c r="F35" s="150"/>
      <c r="G35" s="151"/>
    </row>
    <row r="36" spans="2:7" hidden="1" x14ac:dyDescent="0.2">
      <c r="B36" s="254">
        <v>24</v>
      </c>
      <c r="C36" s="132" t="str">
        <f t="shared" si="0"/>
        <v/>
      </c>
      <c r="D36" s="149"/>
      <c r="E36" s="133"/>
      <c r="F36" s="150"/>
      <c r="G36" s="151"/>
    </row>
    <row r="37" spans="2:7" hidden="1" x14ac:dyDescent="0.2">
      <c r="B37" s="254">
        <v>25</v>
      </c>
      <c r="C37" s="132" t="str">
        <f t="shared" si="0"/>
        <v/>
      </c>
      <c r="D37" s="149"/>
      <c r="E37" s="133"/>
      <c r="F37" s="152"/>
      <c r="G37" s="151"/>
    </row>
    <row r="38" spans="2:7" hidden="1" x14ac:dyDescent="0.2">
      <c r="B38" s="254">
        <v>26</v>
      </c>
      <c r="C38" s="132" t="str">
        <f t="shared" si="0"/>
        <v/>
      </c>
      <c r="D38" s="149"/>
      <c r="E38" s="133"/>
      <c r="F38" s="152"/>
      <c r="G38" s="151"/>
    </row>
    <row r="39" spans="2:7" hidden="1" x14ac:dyDescent="0.2">
      <c r="B39" s="254">
        <v>27</v>
      </c>
      <c r="C39" s="132" t="str">
        <f t="shared" si="0"/>
        <v/>
      </c>
      <c r="D39" s="149"/>
      <c r="E39" s="133"/>
      <c r="F39" s="152"/>
      <c r="G39" s="151"/>
    </row>
    <row r="40" spans="2:7" hidden="1" x14ac:dyDescent="0.2">
      <c r="B40" s="254">
        <v>28</v>
      </c>
      <c r="C40" s="132" t="str">
        <f t="shared" si="0"/>
        <v/>
      </c>
      <c r="D40" s="149"/>
      <c r="E40" s="133"/>
      <c r="F40" s="152"/>
      <c r="G40" s="151"/>
    </row>
    <row r="41" spans="2:7" hidden="1" x14ac:dyDescent="0.2">
      <c r="B41" s="254">
        <v>29</v>
      </c>
      <c r="C41" s="132" t="str">
        <f t="shared" si="0"/>
        <v/>
      </c>
      <c r="D41" s="149"/>
      <c r="E41" s="133"/>
      <c r="F41" s="152"/>
      <c r="G41" s="151"/>
    </row>
    <row r="42" spans="2:7" hidden="1" x14ac:dyDescent="0.2">
      <c r="B42" s="254">
        <v>30</v>
      </c>
      <c r="C42" s="132" t="str">
        <f t="shared" si="0"/>
        <v/>
      </c>
      <c r="D42" s="149"/>
      <c r="E42" s="133"/>
      <c r="F42" s="152"/>
      <c r="G42" s="151"/>
    </row>
    <row r="43" spans="2:7" hidden="1" x14ac:dyDescent="0.2">
      <c r="C43" s="153" t="str">
        <f>IF(NOT(COUNTA(D43:G43)),"",VLOOKUP(D21,Info_County_Code,2,FALSE))</f>
        <v/>
      </c>
      <c r="D43" s="99"/>
      <c r="E43" s="99"/>
      <c r="F43" s="154"/>
    </row>
    <row r="44" spans="2:7" ht="18.75" hidden="1" thickBot="1" x14ac:dyDescent="0.3">
      <c r="B44" s="229" t="s">
        <v>261</v>
      </c>
      <c r="C44" s="155"/>
      <c r="D44" s="112"/>
      <c r="E44" s="112"/>
      <c r="F44" s="156"/>
      <c r="G44" s="156"/>
    </row>
    <row r="45" spans="2:7" s="99" customFormat="1" ht="15.75" hidden="1" thickTop="1" x14ac:dyDescent="0.2"/>
    <row r="46" spans="2:7" s="99" customFormat="1" hidden="1" x14ac:dyDescent="0.2">
      <c r="C46" s="101" t="s">
        <v>27</v>
      </c>
      <c r="D46" s="101" t="s">
        <v>29</v>
      </c>
      <c r="E46" s="88" t="s">
        <v>32</v>
      </c>
      <c r="F46" s="277" t="s">
        <v>246</v>
      </c>
      <c r="G46" s="115" t="s">
        <v>247</v>
      </c>
    </row>
    <row r="47" spans="2:7" ht="15.75" hidden="1" x14ac:dyDescent="0.2">
      <c r="B47" s="76" t="s">
        <v>134</v>
      </c>
      <c r="C47" s="56" t="s">
        <v>11</v>
      </c>
      <c r="D47" s="56" t="s">
        <v>191</v>
      </c>
      <c r="E47" s="356" t="s">
        <v>110</v>
      </c>
      <c r="F47" s="31" t="s">
        <v>112</v>
      </c>
      <c r="G47" s="356" t="s">
        <v>113</v>
      </c>
    </row>
    <row r="48" spans="2:7" hidden="1" x14ac:dyDescent="0.2">
      <c r="B48" s="101">
        <v>1</v>
      </c>
      <c r="C48" s="132" t="str">
        <f t="shared" ref="C48:C77" si="1">IF(F48&lt;&gt;0,VLOOKUP($D$7,Info_County_Code,2,FALSE),"")</f>
        <v/>
      </c>
      <c r="D48" s="335" t="s">
        <v>289</v>
      </c>
      <c r="E48" s="337"/>
      <c r="F48" s="150"/>
      <c r="G48" s="364"/>
    </row>
    <row r="49" spans="2:7" hidden="1" x14ac:dyDescent="0.2">
      <c r="B49" s="101">
        <v>2</v>
      </c>
      <c r="C49" s="132" t="str">
        <f t="shared" si="1"/>
        <v/>
      </c>
      <c r="D49" s="335" t="s">
        <v>289</v>
      </c>
      <c r="E49" s="133"/>
      <c r="F49" s="150"/>
      <c r="G49" s="364"/>
    </row>
    <row r="50" spans="2:7" hidden="1" x14ac:dyDescent="0.2">
      <c r="B50" s="101">
        <v>3</v>
      </c>
      <c r="C50" s="132" t="str">
        <f t="shared" si="1"/>
        <v/>
      </c>
      <c r="D50" s="335" t="s">
        <v>289</v>
      </c>
      <c r="E50" s="133"/>
      <c r="F50" s="150"/>
      <c r="G50" s="151"/>
    </row>
    <row r="51" spans="2:7" hidden="1" x14ac:dyDescent="0.2">
      <c r="B51" s="254">
        <v>4</v>
      </c>
      <c r="C51" s="132" t="str">
        <f t="shared" si="1"/>
        <v/>
      </c>
      <c r="D51" s="335" t="s">
        <v>289</v>
      </c>
      <c r="E51" s="133"/>
      <c r="F51" s="150"/>
      <c r="G51" s="151"/>
    </row>
    <row r="52" spans="2:7" hidden="1" x14ac:dyDescent="0.2">
      <c r="B52" s="254">
        <v>5</v>
      </c>
      <c r="C52" s="132" t="str">
        <f t="shared" si="1"/>
        <v/>
      </c>
      <c r="D52" s="335" t="s">
        <v>289</v>
      </c>
      <c r="E52" s="133"/>
      <c r="F52" s="150"/>
      <c r="G52" s="151"/>
    </row>
    <row r="53" spans="2:7" hidden="1" x14ac:dyDescent="0.2">
      <c r="B53" s="254">
        <v>6</v>
      </c>
      <c r="C53" s="132" t="str">
        <f t="shared" si="1"/>
        <v/>
      </c>
      <c r="D53" s="335" t="s">
        <v>289</v>
      </c>
      <c r="E53" s="133"/>
      <c r="F53" s="150"/>
      <c r="G53" s="151"/>
    </row>
    <row r="54" spans="2:7" hidden="1" x14ac:dyDescent="0.2">
      <c r="B54" s="254">
        <v>7</v>
      </c>
      <c r="C54" s="132" t="str">
        <f t="shared" si="1"/>
        <v/>
      </c>
      <c r="D54" s="335" t="s">
        <v>289</v>
      </c>
      <c r="E54" s="133"/>
      <c r="F54" s="150"/>
      <c r="G54" s="151"/>
    </row>
    <row r="55" spans="2:7" hidden="1" x14ac:dyDescent="0.2">
      <c r="B55" s="254">
        <v>8</v>
      </c>
      <c r="C55" s="132" t="str">
        <f t="shared" si="1"/>
        <v/>
      </c>
      <c r="D55" s="335" t="s">
        <v>289</v>
      </c>
      <c r="E55" s="133"/>
      <c r="F55" s="150"/>
      <c r="G55" s="151"/>
    </row>
    <row r="56" spans="2:7" hidden="1" x14ac:dyDescent="0.2">
      <c r="B56" s="254">
        <v>9</v>
      </c>
      <c r="C56" s="132" t="str">
        <f t="shared" si="1"/>
        <v/>
      </c>
      <c r="D56" s="335" t="s">
        <v>289</v>
      </c>
      <c r="E56" s="133"/>
      <c r="F56" s="150"/>
      <c r="G56" s="151"/>
    </row>
    <row r="57" spans="2:7" hidden="1" x14ac:dyDescent="0.2">
      <c r="B57" s="254">
        <v>10</v>
      </c>
      <c r="C57" s="132" t="str">
        <f t="shared" si="1"/>
        <v/>
      </c>
      <c r="D57" s="335" t="s">
        <v>289</v>
      </c>
      <c r="E57" s="133"/>
      <c r="F57" s="150"/>
      <c r="G57" s="151"/>
    </row>
    <row r="58" spans="2:7" hidden="1" x14ac:dyDescent="0.2">
      <c r="B58" s="254">
        <v>11</v>
      </c>
      <c r="C58" s="132" t="str">
        <f t="shared" si="1"/>
        <v/>
      </c>
      <c r="D58" s="335" t="s">
        <v>289</v>
      </c>
      <c r="E58" s="133"/>
      <c r="F58" s="150"/>
      <c r="G58" s="151"/>
    </row>
    <row r="59" spans="2:7" hidden="1" x14ac:dyDescent="0.2">
      <c r="B59" s="254">
        <v>12</v>
      </c>
      <c r="C59" s="132" t="str">
        <f t="shared" si="1"/>
        <v/>
      </c>
      <c r="D59" s="335" t="s">
        <v>289</v>
      </c>
      <c r="E59" s="133"/>
      <c r="F59" s="150"/>
      <c r="G59" s="151"/>
    </row>
    <row r="60" spans="2:7" hidden="1" x14ac:dyDescent="0.2">
      <c r="B60" s="254">
        <v>13</v>
      </c>
      <c r="C60" s="132" t="str">
        <f t="shared" si="1"/>
        <v/>
      </c>
      <c r="D60" s="335" t="s">
        <v>289</v>
      </c>
      <c r="E60" s="133"/>
      <c r="F60" s="150"/>
      <c r="G60" s="151"/>
    </row>
    <row r="61" spans="2:7" hidden="1" x14ac:dyDescent="0.2">
      <c r="B61" s="254">
        <v>14</v>
      </c>
      <c r="C61" s="132" t="str">
        <f t="shared" si="1"/>
        <v/>
      </c>
      <c r="D61" s="335" t="s">
        <v>289</v>
      </c>
      <c r="E61" s="133"/>
      <c r="F61" s="150"/>
      <c r="G61" s="151"/>
    </row>
    <row r="62" spans="2:7" hidden="1" x14ac:dyDescent="0.2">
      <c r="B62" s="254">
        <v>15</v>
      </c>
      <c r="C62" s="132" t="str">
        <f t="shared" si="1"/>
        <v/>
      </c>
      <c r="D62" s="335" t="s">
        <v>289</v>
      </c>
      <c r="E62" s="133"/>
      <c r="F62" s="150"/>
      <c r="G62" s="151"/>
    </row>
    <row r="63" spans="2:7" hidden="1" x14ac:dyDescent="0.2">
      <c r="B63" s="254">
        <v>16</v>
      </c>
      <c r="C63" s="132" t="str">
        <f t="shared" si="1"/>
        <v/>
      </c>
      <c r="D63" s="335" t="s">
        <v>289</v>
      </c>
      <c r="E63" s="133"/>
      <c r="F63" s="150"/>
      <c r="G63" s="151"/>
    </row>
    <row r="64" spans="2:7" hidden="1" x14ac:dyDescent="0.2">
      <c r="B64" s="254">
        <v>17</v>
      </c>
      <c r="C64" s="132" t="str">
        <f t="shared" si="1"/>
        <v/>
      </c>
      <c r="D64" s="335" t="s">
        <v>289</v>
      </c>
      <c r="E64" s="133"/>
      <c r="F64" s="150"/>
      <c r="G64" s="151"/>
    </row>
    <row r="65" spans="2:7" hidden="1" x14ac:dyDescent="0.2">
      <c r="B65" s="254">
        <v>18</v>
      </c>
      <c r="C65" s="132" t="str">
        <f t="shared" si="1"/>
        <v/>
      </c>
      <c r="D65" s="335" t="s">
        <v>289</v>
      </c>
      <c r="E65" s="133"/>
      <c r="F65" s="150"/>
      <c r="G65" s="151"/>
    </row>
    <row r="66" spans="2:7" hidden="1" x14ac:dyDescent="0.2">
      <c r="B66" s="254">
        <v>19</v>
      </c>
      <c r="C66" s="132" t="str">
        <f t="shared" si="1"/>
        <v/>
      </c>
      <c r="D66" s="335" t="s">
        <v>289</v>
      </c>
      <c r="E66" s="133"/>
      <c r="F66" s="150"/>
      <c r="G66" s="151"/>
    </row>
    <row r="67" spans="2:7" hidden="1" x14ac:dyDescent="0.2">
      <c r="B67" s="254">
        <v>20</v>
      </c>
      <c r="C67" s="132" t="str">
        <f t="shared" si="1"/>
        <v/>
      </c>
      <c r="D67" s="335" t="s">
        <v>289</v>
      </c>
      <c r="E67" s="133"/>
      <c r="F67" s="150"/>
      <c r="G67" s="151"/>
    </row>
    <row r="68" spans="2:7" hidden="1" x14ac:dyDescent="0.2">
      <c r="B68" s="254">
        <v>21</v>
      </c>
      <c r="C68" s="132" t="str">
        <f t="shared" si="1"/>
        <v/>
      </c>
      <c r="D68" s="335" t="s">
        <v>289</v>
      </c>
      <c r="E68" s="133"/>
      <c r="F68" s="150"/>
      <c r="G68" s="151"/>
    </row>
    <row r="69" spans="2:7" hidden="1" x14ac:dyDescent="0.2">
      <c r="B69" s="254">
        <v>22</v>
      </c>
      <c r="C69" s="132" t="str">
        <f t="shared" si="1"/>
        <v/>
      </c>
      <c r="D69" s="335" t="s">
        <v>289</v>
      </c>
      <c r="E69" s="133"/>
      <c r="F69" s="150"/>
      <c r="G69" s="151"/>
    </row>
    <row r="70" spans="2:7" hidden="1" x14ac:dyDescent="0.2">
      <c r="B70" s="254">
        <v>23</v>
      </c>
      <c r="C70" s="132" t="str">
        <f t="shared" si="1"/>
        <v/>
      </c>
      <c r="D70" s="335" t="s">
        <v>289</v>
      </c>
      <c r="E70" s="133"/>
      <c r="F70" s="150"/>
      <c r="G70" s="151"/>
    </row>
    <row r="71" spans="2:7" hidden="1" x14ac:dyDescent="0.2">
      <c r="B71" s="254">
        <v>24</v>
      </c>
      <c r="C71" s="132" t="str">
        <f t="shared" si="1"/>
        <v/>
      </c>
      <c r="D71" s="335" t="s">
        <v>289</v>
      </c>
      <c r="E71" s="133"/>
      <c r="F71" s="150"/>
      <c r="G71" s="151"/>
    </row>
    <row r="72" spans="2:7" hidden="1" x14ac:dyDescent="0.2">
      <c r="B72" s="254">
        <v>25</v>
      </c>
      <c r="C72" s="132" t="str">
        <f t="shared" si="1"/>
        <v/>
      </c>
      <c r="D72" s="335" t="s">
        <v>289</v>
      </c>
      <c r="E72" s="133"/>
      <c r="F72" s="150"/>
      <c r="G72" s="151"/>
    </row>
    <row r="73" spans="2:7" hidden="1" x14ac:dyDescent="0.2">
      <c r="B73" s="254">
        <v>26</v>
      </c>
      <c r="C73" s="132" t="str">
        <f t="shared" si="1"/>
        <v/>
      </c>
      <c r="D73" s="335" t="s">
        <v>289</v>
      </c>
      <c r="E73" s="133"/>
      <c r="F73" s="150"/>
      <c r="G73" s="151"/>
    </row>
    <row r="74" spans="2:7" hidden="1" x14ac:dyDescent="0.2">
      <c r="B74" s="254">
        <v>27</v>
      </c>
      <c r="C74" s="132" t="str">
        <f t="shared" si="1"/>
        <v/>
      </c>
      <c r="D74" s="335" t="s">
        <v>289</v>
      </c>
      <c r="E74" s="133"/>
      <c r="F74" s="150"/>
      <c r="G74" s="151"/>
    </row>
    <row r="75" spans="2:7" hidden="1" x14ac:dyDescent="0.2">
      <c r="B75" s="254">
        <v>28</v>
      </c>
      <c r="C75" s="132" t="str">
        <f t="shared" si="1"/>
        <v/>
      </c>
      <c r="D75" s="335" t="s">
        <v>289</v>
      </c>
      <c r="E75" s="133"/>
      <c r="F75" s="150"/>
      <c r="G75" s="151"/>
    </row>
    <row r="76" spans="2:7" hidden="1" x14ac:dyDescent="0.2">
      <c r="B76" s="254">
        <v>29</v>
      </c>
      <c r="C76" s="132" t="str">
        <f t="shared" si="1"/>
        <v/>
      </c>
      <c r="D76" s="335" t="s">
        <v>289</v>
      </c>
      <c r="E76" s="133"/>
      <c r="F76" s="150"/>
      <c r="G76" s="151"/>
    </row>
    <row r="77" spans="2:7" hidden="1" x14ac:dyDescent="0.2">
      <c r="B77" s="254">
        <v>30</v>
      </c>
      <c r="C77" s="132" t="str">
        <f t="shared" si="1"/>
        <v/>
      </c>
      <c r="D77" s="335" t="s">
        <v>289</v>
      </c>
      <c r="E77" s="133"/>
      <c r="F77" s="150"/>
      <c r="G77" s="151"/>
    </row>
    <row r="78" spans="2:7" hidden="1"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f t="shared" ref="C83:C112" si="2">IF(F83&lt;&gt;0,VLOOKUP($D$7,Info_County_Code,2,FALSE),"")</f>
        <v>24</v>
      </c>
      <c r="D83" s="157" t="s">
        <v>192</v>
      </c>
      <c r="E83" s="337" t="s">
        <v>294</v>
      </c>
      <c r="F83" s="150">
        <v>102226.92000000001</v>
      </c>
      <c r="G83" s="364" t="s">
        <v>342</v>
      </c>
    </row>
    <row r="84" spans="2:7" x14ac:dyDescent="0.2">
      <c r="B84" s="101">
        <v>2</v>
      </c>
      <c r="C84" s="132">
        <f t="shared" si="2"/>
        <v>24</v>
      </c>
      <c r="D84" s="157" t="s">
        <v>192</v>
      </c>
      <c r="E84" s="133" t="s">
        <v>295</v>
      </c>
      <c r="F84" s="150">
        <v>48485.510000000708</v>
      </c>
      <c r="G84" s="364" t="s">
        <v>341</v>
      </c>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sheetData>
  <sheetProtection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89" orientation="landscape" horizontalDpi="4294967294" verticalDpi="4294967294" r:id="rId1"/>
  <headerFooter>
    <oddFooter>&amp;C&amp;"Arial,Regular"&amp;16Page &amp;P of &amp;N</oddFooter>
  </headerFooter>
  <rowBreaks count="2" manualBreakCount="2">
    <brk id="43" max="6" man="1"/>
    <brk id="78"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B1:K52"/>
  <sheetViews>
    <sheetView showGridLines="0" zoomScale="85" zoomScaleNormal="85" workbookViewId="0">
      <selection activeCell="L38" sqref="L38"/>
    </sheetView>
  </sheetViews>
  <sheetFormatPr defaultColWidth="21.140625" defaultRowHeight="15"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4" width="11.7109375" style="108" customWidth="1"/>
    <col min="15" max="16384" width="21.140625" style="108"/>
  </cols>
  <sheetData>
    <row r="1" spans="2:9" x14ac:dyDescent="0.2">
      <c r="B1" s="465"/>
      <c r="C1" s="465"/>
      <c r="D1" s="465"/>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53" t="s">
        <v>1</v>
      </c>
      <c r="C7" s="453"/>
      <c r="D7" s="9" t="str">
        <f>IF(ISBLANK('1. Information'!D8),"",'1. Information'!D8)</f>
        <v>Merced</v>
      </c>
      <c r="F7" s="94" t="s">
        <v>2</v>
      </c>
      <c r="G7" s="38">
        <f>IF(ISBLANK('1. Information'!D7),"",'1. Information'!D7)</f>
        <v>43438</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sheetData>
  <sheetProtection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8" sqref="C8"/>
    </sheetView>
  </sheetViews>
  <sheetFormatPr defaultColWidth="9.140625" defaultRowHeight="15" x14ac:dyDescent="0.2"/>
  <cols>
    <col min="1" max="1" width="2.7109375" style="99" customWidth="1"/>
    <col min="2" max="2" width="9.140625" style="99" customWidth="1"/>
    <col min="3" max="3" width="137" style="99" customWidth="1"/>
    <col min="4" max="17" width="9.140625" style="99" customWidth="1"/>
    <col min="18" max="16384" width="9.140625" style="99"/>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277</v>
      </c>
      <c r="C5" s="89"/>
      <c r="D5" s="89"/>
      <c r="E5" s="89"/>
      <c r="F5" s="89"/>
    </row>
    <row r="6" spans="1:28" s="108" customFormat="1" ht="18" x14ac:dyDescent="0.2">
      <c r="B6" s="235"/>
      <c r="C6" s="89"/>
      <c r="D6" s="89"/>
      <c r="E6" s="89"/>
      <c r="F6" s="89"/>
      <c r="AB6" s="281"/>
    </row>
    <row r="7" spans="1:28" ht="15.75" x14ac:dyDescent="0.25">
      <c r="B7" s="247"/>
      <c r="C7" s="345" t="s">
        <v>277</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50" spans="10:17" x14ac:dyDescent="0.2">
      <c r="Q50" s="250"/>
    </row>
    <row r="61" spans="10:17" x14ac:dyDescent="0.2">
      <c r="J61" s="251"/>
    </row>
    <row r="65" spans="11:14" x14ac:dyDescent="0.2">
      <c r="K65" s="252"/>
    </row>
    <row r="67" spans="11:14" x14ac:dyDescent="0.2">
      <c r="L67" s="250"/>
    </row>
    <row r="68" spans="11:14"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zoomScale="8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73" t="s">
        <v>169</v>
      </c>
      <c r="B1" s="474"/>
      <c r="C1" s="160" t="s">
        <v>170</v>
      </c>
      <c r="D1" s="161" t="s">
        <v>168</v>
      </c>
      <c r="E1" s="161" t="s">
        <v>171</v>
      </c>
      <c r="F1" s="161" t="s">
        <v>155</v>
      </c>
      <c r="G1" s="161" t="s">
        <v>156</v>
      </c>
      <c r="H1" s="161" t="s">
        <v>172</v>
      </c>
      <c r="I1" s="161" t="s">
        <v>173</v>
      </c>
      <c r="J1" s="161" t="s">
        <v>190</v>
      </c>
      <c r="K1" s="369" t="s">
        <v>302</v>
      </c>
      <c r="L1" s="369" t="s">
        <v>303</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295</v>
      </c>
      <c r="L2" s="255" t="s">
        <v>301</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294</v>
      </c>
      <c r="L3" s="255" t="s">
        <v>300</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299</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298</v>
      </c>
      <c r="M5" s="165" t="s">
        <v>117</v>
      </c>
      <c r="N5" s="165"/>
      <c r="O5" s="166"/>
    </row>
    <row r="6" spans="1:15" x14ac:dyDescent="0.2">
      <c r="A6" s="163" t="s">
        <v>46</v>
      </c>
      <c r="B6" s="164">
        <v>4</v>
      </c>
      <c r="C6" s="164"/>
      <c r="D6" s="165"/>
      <c r="E6" s="165"/>
      <c r="F6" s="165" t="s">
        <v>147</v>
      </c>
      <c r="G6" s="165"/>
      <c r="H6" s="165" t="s">
        <v>109</v>
      </c>
      <c r="I6" s="165"/>
      <c r="J6" s="165" t="s">
        <v>38</v>
      </c>
      <c r="K6" s="165"/>
      <c r="L6" s="255" t="s">
        <v>297</v>
      </c>
      <c r="M6" s="165" t="s">
        <v>118</v>
      </c>
      <c r="N6" s="165"/>
      <c r="O6" s="166"/>
    </row>
    <row r="7" spans="1:15" x14ac:dyDescent="0.2">
      <c r="A7" s="163" t="s">
        <v>47</v>
      </c>
      <c r="B7" s="164">
        <v>5</v>
      </c>
      <c r="C7" s="164"/>
      <c r="D7" s="165"/>
      <c r="E7" s="165"/>
      <c r="F7" s="165" t="s">
        <v>132</v>
      </c>
      <c r="G7" s="165"/>
      <c r="H7" s="165"/>
      <c r="I7" s="165"/>
      <c r="J7" s="165" t="s">
        <v>40</v>
      </c>
      <c r="K7" s="165"/>
      <c r="L7" s="255" t="s">
        <v>296</v>
      </c>
      <c r="M7" s="165" t="s">
        <v>15</v>
      </c>
      <c r="N7" s="165"/>
      <c r="O7" s="166"/>
    </row>
    <row r="8" spans="1:15" x14ac:dyDescent="0.2">
      <c r="A8" s="163" t="s">
        <v>48</v>
      </c>
      <c r="B8" s="164">
        <v>6</v>
      </c>
      <c r="C8" s="164"/>
      <c r="D8" s="165"/>
      <c r="E8" s="165"/>
      <c r="F8" s="165" t="s">
        <v>148</v>
      </c>
      <c r="G8" s="165"/>
      <c r="H8" s="165"/>
      <c r="I8" s="165"/>
      <c r="J8" s="165" t="s">
        <v>119</v>
      </c>
      <c r="K8" s="165"/>
      <c r="L8" s="255" t="s">
        <v>295</v>
      </c>
      <c r="M8" s="165"/>
      <c r="N8" s="165"/>
      <c r="O8" s="166"/>
    </row>
    <row r="9" spans="1:15" x14ac:dyDescent="0.2">
      <c r="A9" s="163" t="s">
        <v>49</v>
      </c>
      <c r="B9" s="164">
        <v>7</v>
      </c>
      <c r="C9" s="164"/>
      <c r="D9" s="165"/>
      <c r="E9" s="165"/>
      <c r="F9" s="165" t="s">
        <v>230</v>
      </c>
      <c r="G9" s="165"/>
      <c r="H9" s="165"/>
      <c r="I9" s="165"/>
      <c r="J9" s="165" t="s">
        <v>41</v>
      </c>
      <c r="K9" s="165"/>
      <c r="L9" s="255" t="s">
        <v>294</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formatColumns="0" formatRows="0"/>
  <sortState ref="A2:B60">
    <sortCondition ref="A2:A60"/>
  </sortState>
  <mergeCells count="1">
    <mergeCell ref="A1:B1"/>
  </mergeCells>
  <printOptions headings="1" gridLines="1"/>
  <pageMargins left="0.25" right="0.25" top="0.75" bottom="0.75" header="0.3" footer="0.3"/>
  <pageSetup paperSize="5" scale="55"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zoomScale="80" zoomScaleNormal="80" workbookViewId="0">
      <selection activeCell="E8" sqref="E8"/>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6" t="s">
        <v>198</v>
      </c>
      <c r="B2" s="476"/>
      <c r="C2" s="476"/>
      <c r="D2" s="476"/>
      <c r="E2" s="476"/>
    </row>
    <row r="3" spans="1:7" ht="14.25" customHeight="1" x14ac:dyDescent="0.25">
      <c r="A3" s="476" t="s">
        <v>312</v>
      </c>
      <c r="B3" s="476"/>
      <c r="C3" s="476"/>
      <c r="D3" s="476"/>
      <c r="E3" s="476"/>
    </row>
    <row r="4" spans="1:7" ht="14.25" customHeight="1" thickBot="1" x14ac:dyDescent="0.3">
      <c r="A4" s="173"/>
      <c r="B4" s="174"/>
      <c r="C4" s="175"/>
      <c r="D4" s="176"/>
    </row>
    <row r="5" spans="1:7" ht="14.25" customHeight="1" x14ac:dyDescent="0.25">
      <c r="A5" s="177" t="s">
        <v>199</v>
      </c>
      <c r="B5" s="475" t="s">
        <v>200</v>
      </c>
      <c r="C5" s="475"/>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392778</v>
      </c>
      <c r="C71" s="209">
        <f>C73+C74+C75</f>
        <v>395365</v>
      </c>
      <c r="D71" s="210"/>
      <c r="E71" s="211" t="str">
        <f t="shared" si="0"/>
        <v>Yes</v>
      </c>
    </row>
    <row r="72" spans="1:6" x14ac:dyDescent="0.2">
      <c r="A72" s="165"/>
      <c r="B72" s="212"/>
      <c r="C72" s="212"/>
      <c r="D72" s="206"/>
      <c r="E72" s="213"/>
    </row>
    <row r="73" spans="1:6" x14ac:dyDescent="0.2">
      <c r="A73" s="385" t="s">
        <v>264</v>
      </c>
      <c r="B73" s="386">
        <v>113179</v>
      </c>
      <c r="C73" s="214">
        <v>114622</v>
      </c>
      <c r="D73" s="206">
        <v>1.3</v>
      </c>
      <c r="E73" s="213"/>
    </row>
    <row r="74" spans="1:6" x14ac:dyDescent="0.2">
      <c r="A74" s="385" t="s">
        <v>265</v>
      </c>
      <c r="B74" s="386">
        <v>176666</v>
      </c>
      <c r="C74" s="214">
        <v>177362</v>
      </c>
      <c r="D74" s="206">
        <v>0.4</v>
      </c>
      <c r="E74" s="213"/>
    </row>
    <row r="75" spans="1:6" x14ac:dyDescent="0.2">
      <c r="A75" s="385" t="s">
        <v>266</v>
      </c>
      <c r="B75" s="386">
        <v>102933</v>
      </c>
      <c r="C75" s="214">
        <v>103381</v>
      </c>
      <c r="D75" s="206">
        <v>0.4</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2:G19"/>
  <sheetViews>
    <sheetView showGridLines="0" topLeftCell="A16" zoomScale="70" zoomScaleNormal="70" zoomScaleSheetLayoutView="70" workbookViewId="0">
      <selection activeCell="C14" sqref="C14"/>
    </sheetView>
  </sheetViews>
  <sheetFormatPr defaultColWidth="9.140625" defaultRowHeight="15" x14ac:dyDescent="0.2"/>
  <cols>
    <col min="1" max="1" width="2.7109375" style="37" customWidth="1"/>
    <col min="2" max="2" width="44.28515625" style="37" customWidth="1"/>
    <col min="3" max="3" width="98.85546875" style="37" customWidth="1"/>
    <col min="4" max="11" width="9.140625" style="37" customWidth="1"/>
    <col min="12" max="16384" width="9.140625" style="37"/>
  </cols>
  <sheetData>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285</v>
      </c>
    </row>
    <row r="6" spans="1:7" ht="15.75" x14ac:dyDescent="0.25">
      <c r="B6" s="52"/>
    </row>
    <row r="7" spans="1:7" ht="39.950000000000003" customHeight="1" x14ac:dyDescent="0.2">
      <c r="B7" s="434" t="s">
        <v>283</v>
      </c>
      <c r="C7" s="432"/>
      <c r="F7" s="224"/>
    </row>
    <row r="8" spans="1:7" ht="55.5" customHeight="1" x14ac:dyDescent="0.2">
      <c r="B8" s="435" t="s">
        <v>284</v>
      </c>
      <c r="C8" s="436"/>
      <c r="F8" s="222"/>
      <c r="G8" s="224"/>
    </row>
    <row r="9" spans="1:7" ht="39.950000000000003" customHeight="1" x14ac:dyDescent="0.2">
      <c r="B9" s="435" t="s">
        <v>282</v>
      </c>
      <c r="C9" s="436"/>
      <c r="E9" s="222"/>
      <c r="F9" s="223"/>
    </row>
    <row r="10" spans="1:7" ht="39.950000000000003" customHeight="1" x14ac:dyDescent="0.2">
      <c r="B10" s="436" t="s">
        <v>267</v>
      </c>
      <c r="C10" s="436"/>
      <c r="D10" s="221"/>
    </row>
    <row r="12" spans="1:7" ht="29.25" customHeight="1" x14ac:dyDescent="0.2">
      <c r="B12" s="432" t="s">
        <v>269</v>
      </c>
      <c r="C12" s="433" t="s">
        <v>275</v>
      </c>
    </row>
    <row r="13" spans="1:7" ht="18" customHeight="1" x14ac:dyDescent="0.2">
      <c r="B13" s="432"/>
      <c r="C13" s="432"/>
    </row>
    <row r="14" spans="1:7" ht="60.75" customHeight="1" x14ac:dyDescent="0.2">
      <c r="B14" s="429" t="s">
        <v>270</v>
      </c>
      <c r="C14" s="381" t="s">
        <v>316</v>
      </c>
    </row>
    <row r="15" spans="1:7" ht="68.25" customHeight="1" x14ac:dyDescent="0.2">
      <c r="B15" s="430"/>
      <c r="C15" s="382" t="s">
        <v>309</v>
      </c>
    </row>
    <row r="16" spans="1:7" ht="66" customHeight="1" x14ac:dyDescent="0.2">
      <c r="B16" s="431"/>
      <c r="C16" s="381" t="s">
        <v>310</v>
      </c>
    </row>
    <row r="17" spans="2:3" ht="53.25" customHeight="1" x14ac:dyDescent="0.2">
      <c r="B17" s="377" t="s">
        <v>271</v>
      </c>
      <c r="C17" s="377" t="s">
        <v>268</v>
      </c>
    </row>
    <row r="18" spans="2:3" ht="54" customHeight="1" x14ac:dyDescent="0.2">
      <c r="B18" s="377" t="s">
        <v>272</v>
      </c>
      <c r="C18" s="378" t="s">
        <v>290</v>
      </c>
    </row>
    <row r="19" spans="2:3" ht="50.25" customHeight="1" x14ac:dyDescent="0.2">
      <c r="B19" s="237"/>
    </row>
  </sheetData>
  <sheetProtection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3"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2:E17"/>
  <sheetViews>
    <sheetView showGridLines="0" zoomScale="80" zoomScaleNormal="80" workbookViewId="0">
      <selection activeCell="G12" sqref="G12"/>
    </sheetView>
  </sheetViews>
  <sheetFormatPr defaultColWidth="11.5703125" defaultRowHeight="15" x14ac:dyDescent="0.2"/>
  <cols>
    <col min="1" max="1" width="2.7109375" style="100" customWidth="1"/>
    <col min="2" max="2" width="6.7109375" style="100" customWidth="1"/>
    <col min="3" max="4" width="50.7109375" style="100" customWidth="1"/>
    <col min="5" max="7" width="9.140625" style="100" customWidth="1"/>
    <col min="8" max="16383" width="11.5703125" style="100"/>
    <col min="16384" max="16384" width="11.5703125" style="100" customWidth="1"/>
  </cols>
  <sheetData>
    <row r="2" spans="1:5" ht="15.75" x14ac:dyDescent="0.2">
      <c r="A2" s="99"/>
      <c r="B2" s="391" t="s">
        <v>315</v>
      </c>
      <c r="C2" s="1"/>
      <c r="D2" s="1"/>
    </row>
    <row r="3" spans="1:5" ht="18" x14ac:dyDescent="0.2">
      <c r="A3" s="99"/>
      <c r="B3" s="227" t="s">
        <v>259</v>
      </c>
      <c r="C3" s="1"/>
      <c r="D3" s="1"/>
    </row>
    <row r="4" spans="1:5" ht="18" x14ac:dyDescent="0.2">
      <c r="A4" s="99"/>
      <c r="B4" s="227" t="s">
        <v>279</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43438</v>
      </c>
    </row>
    <row r="8" spans="1:5" ht="34.5" customHeight="1" x14ac:dyDescent="0.2">
      <c r="A8" s="99"/>
      <c r="B8" s="130">
        <v>2</v>
      </c>
      <c r="C8" s="102" t="s">
        <v>1</v>
      </c>
      <c r="D8" s="365" t="s">
        <v>66</v>
      </c>
    </row>
    <row r="9" spans="1:5" ht="34.5" customHeight="1" x14ac:dyDescent="0.2">
      <c r="A9" s="99"/>
      <c r="B9" s="130">
        <v>3</v>
      </c>
      <c r="C9" s="103" t="s">
        <v>125</v>
      </c>
      <c r="D9" s="104">
        <f>IF(ISBLANK(D8),"",VLOOKUP(D8,Info_County_Code,2))</f>
        <v>24</v>
      </c>
    </row>
    <row r="10" spans="1:5" ht="34.5" customHeight="1" x14ac:dyDescent="0.2">
      <c r="A10" s="99"/>
      <c r="B10" s="130">
        <v>4</v>
      </c>
      <c r="C10" s="102" t="s">
        <v>126</v>
      </c>
      <c r="D10" s="418" t="s">
        <v>322</v>
      </c>
    </row>
    <row r="11" spans="1:5" ht="34.5" customHeight="1" x14ac:dyDescent="0.2">
      <c r="A11" s="99"/>
      <c r="B11" s="130">
        <v>5</v>
      </c>
      <c r="C11" s="102" t="s">
        <v>127</v>
      </c>
      <c r="D11" s="365" t="s">
        <v>66</v>
      </c>
    </row>
    <row r="12" spans="1:5" ht="34.5" customHeight="1" x14ac:dyDescent="0.2">
      <c r="A12" s="99"/>
      <c r="B12" s="130">
        <v>6</v>
      </c>
      <c r="C12" s="102" t="s">
        <v>128</v>
      </c>
      <c r="D12" s="244">
        <v>95341</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323</v>
      </c>
    </row>
    <row r="15" spans="1:5" ht="34.5" customHeight="1" x14ac:dyDescent="0.2">
      <c r="A15" s="99"/>
      <c r="B15" s="130">
        <v>9</v>
      </c>
      <c r="C15" s="383" t="s">
        <v>193</v>
      </c>
      <c r="D15" s="419" t="s">
        <v>324</v>
      </c>
    </row>
    <row r="16" spans="1:5" ht="34.5" customHeight="1" x14ac:dyDescent="0.2">
      <c r="A16" s="99"/>
      <c r="B16" s="130">
        <v>10</v>
      </c>
      <c r="C16" s="383" t="s">
        <v>211</v>
      </c>
      <c r="D16" s="420" t="s">
        <v>325</v>
      </c>
    </row>
    <row r="17" spans="1:4" ht="34.5" customHeight="1" x14ac:dyDescent="0.2">
      <c r="A17" s="99"/>
      <c r="B17" s="130">
        <v>11</v>
      </c>
      <c r="C17" s="102" t="s">
        <v>194</v>
      </c>
      <c r="D17" s="421" t="s">
        <v>326</v>
      </c>
    </row>
  </sheetData>
  <sheetProtection formatColumns="0" formatRows="0"/>
  <dataValidations count="1">
    <dataValidation type="list" allowBlank="1" showInputMessage="1" showErrorMessage="1" sqref="D8">
      <formula1>County</formula1>
    </dataValidation>
  </dataValidations>
  <hyperlinks>
    <hyperlink ref="D16" r:id="rId1"/>
  </hyperlinks>
  <pageMargins left="0.25" right="0.25" top="1.194375" bottom="0.75" header="0.3" footer="0.3"/>
  <pageSetup scale="94" orientation="portrait" horizontalDpi="4294967294" verticalDpi="4294967294" r:id="rId2"/>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2:N41"/>
  <sheetViews>
    <sheetView showGridLines="0" tabSelected="1" zoomScale="55" zoomScaleNormal="55" zoomScaleSheetLayoutView="40" workbookViewId="0">
      <pane xSplit="3" ySplit="20" topLeftCell="D24" activePane="bottomRight" state="frozen"/>
      <selection pane="topRight" activeCell="D1" sqref="D1"/>
      <selection pane="bottomLeft" activeCell="A16" sqref="A16"/>
      <selection pane="bottomRight" activeCell="F36" sqref="F36"/>
    </sheetView>
  </sheetViews>
  <sheetFormatPr defaultColWidth="9.140625" defaultRowHeight="15.75"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278</v>
      </c>
      <c r="C5" s="40"/>
      <c r="D5" s="40"/>
      <c r="E5" s="40"/>
      <c r="F5" s="40"/>
      <c r="G5" s="40"/>
      <c r="H5" s="40"/>
    </row>
    <row r="6" spans="2:14" x14ac:dyDescent="0.25">
      <c r="C6" s="40"/>
      <c r="D6" s="40"/>
      <c r="E6" s="40"/>
      <c r="F6" s="40"/>
      <c r="G6" s="40"/>
      <c r="H6" s="40"/>
    </row>
    <row r="7" spans="2:14" x14ac:dyDescent="0.25">
      <c r="B7" s="361" t="s">
        <v>1</v>
      </c>
      <c r="C7" s="259" t="str">
        <f>IF(ISBLANK('1. Information'!D8),"",'1. Information'!D8)</f>
        <v>Merced</v>
      </c>
      <c r="F7" s="360" t="s">
        <v>2</v>
      </c>
      <c r="G7" s="259">
        <f>IF(ISBLANK('1. Information'!D7),"",'1. Information'!D7)</f>
        <v>43438</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313</v>
      </c>
      <c r="C14" s="346"/>
      <c r="D14" s="280" t="s">
        <v>25</v>
      </c>
      <c r="E14" s="260"/>
      <c r="F14" s="260"/>
      <c r="G14" s="90"/>
      <c r="H14" s="260"/>
      <c r="I14" s="260"/>
      <c r="J14" s="260"/>
      <c r="K14" s="260"/>
      <c r="L14" s="260"/>
      <c r="M14" s="260"/>
      <c r="N14" s="260"/>
    </row>
    <row r="15" spans="2:14" x14ac:dyDescent="0.25">
      <c r="B15" s="269">
        <v>1</v>
      </c>
      <c r="C15" s="332" t="s">
        <v>288</v>
      </c>
      <c r="D15" s="92">
        <v>315979.51</v>
      </c>
      <c r="E15" s="260"/>
      <c r="F15" s="260"/>
      <c r="G15" s="90"/>
      <c r="H15" s="260"/>
      <c r="I15" s="260"/>
      <c r="J15" s="260"/>
      <c r="K15" s="260"/>
      <c r="L15" s="260"/>
      <c r="M15" s="260"/>
      <c r="N15" s="260"/>
    </row>
    <row r="16" spans="2:14" x14ac:dyDescent="0.25">
      <c r="B16" s="24">
        <v>2</v>
      </c>
      <c r="C16" s="332" t="s">
        <v>311</v>
      </c>
      <c r="D16" s="394">
        <v>4210845.71</v>
      </c>
      <c r="E16" s="260"/>
      <c r="F16" s="260"/>
      <c r="G16" s="90"/>
      <c r="H16" s="260"/>
      <c r="I16" s="260"/>
      <c r="J16" s="260"/>
      <c r="K16" s="260"/>
      <c r="L16" s="260"/>
      <c r="M16" s="260"/>
      <c r="N16" s="260"/>
    </row>
    <row r="17" spans="2:14" x14ac:dyDescent="0.25">
      <c r="B17" s="24">
        <v>3</v>
      </c>
      <c r="C17" s="332" t="s">
        <v>317</v>
      </c>
      <c r="D17" s="91">
        <f>D16+M22+M27+SUM('9. Adjustment (MHSA)'!F83:F112)</f>
        <v>4361558.1400000006</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308</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280</v>
      </c>
      <c r="D23" s="264">
        <f>D15*0.76</f>
        <v>240144.4276</v>
      </c>
      <c r="E23" s="380">
        <f>D15*0.19</f>
        <v>60036.106899999999</v>
      </c>
      <c r="F23" s="261">
        <f>D15*0.05</f>
        <v>15798.9755</v>
      </c>
      <c r="G23" s="327"/>
      <c r="H23" s="327"/>
      <c r="I23" s="327"/>
      <c r="J23" s="334"/>
      <c r="K23" s="327"/>
      <c r="L23" s="327"/>
      <c r="M23" s="327"/>
      <c r="N23" s="333">
        <f>SUM(D23:M23)</f>
        <v>315979.51</v>
      </c>
    </row>
    <row r="24" spans="2:14" ht="24" customHeight="1" x14ac:dyDescent="0.25">
      <c r="B24" s="24">
        <v>6</v>
      </c>
      <c r="C24" s="266" t="s">
        <v>25</v>
      </c>
      <c r="D24" s="339">
        <f t="shared" ref="D24:L24" si="0">SUM(D22:D23)</f>
        <v>240144.4276</v>
      </c>
      <c r="E24" s="339">
        <f t="shared" si="0"/>
        <v>60036.106899999999</v>
      </c>
      <c r="F24" s="339">
        <f t="shared" si="0"/>
        <v>15798.9755</v>
      </c>
      <c r="G24" s="339">
        <f t="shared" si="0"/>
        <v>0</v>
      </c>
      <c r="H24" s="339">
        <f t="shared" si="0"/>
        <v>0</v>
      </c>
      <c r="I24" s="339">
        <f t="shared" si="0"/>
        <v>0</v>
      </c>
      <c r="J24" s="339">
        <f t="shared" si="0"/>
        <v>0</v>
      </c>
      <c r="K24" s="339">
        <f t="shared" si="0"/>
        <v>0</v>
      </c>
      <c r="L24" s="339">
        <f t="shared" si="0"/>
        <v>0</v>
      </c>
      <c r="M24" s="339">
        <v>0</v>
      </c>
      <c r="N24" s="371">
        <f>SUM(D24:M24)</f>
        <v>315979.51</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306</v>
      </c>
      <c r="C26" s="271"/>
      <c r="D26" s="357"/>
      <c r="E26" s="274"/>
      <c r="F26" s="274"/>
      <c r="G26" s="274"/>
      <c r="H26" s="274"/>
      <c r="I26" s="274"/>
      <c r="J26" s="274"/>
      <c r="K26" s="274"/>
      <c r="L26" s="274"/>
      <c r="M26" s="274"/>
      <c r="N26" s="275"/>
    </row>
    <row r="27" spans="2:14" ht="24" customHeight="1" x14ac:dyDescent="0.25">
      <c r="B27" s="269">
        <v>7</v>
      </c>
      <c r="C27" s="268" t="s">
        <v>287</v>
      </c>
      <c r="D27" s="264">
        <f>(G27+H27+M27)*-1</f>
        <v>-2305968</v>
      </c>
      <c r="E27" s="334"/>
      <c r="F27" s="334"/>
      <c r="G27" s="264">
        <f>'3. CSS'!F20</f>
        <v>132148</v>
      </c>
      <c r="H27" s="264">
        <f>'3. CSS'!F21</f>
        <v>2173820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307</v>
      </c>
      <c r="C29" s="271"/>
      <c r="D29" s="271"/>
      <c r="E29" s="272"/>
      <c r="F29" s="272"/>
      <c r="G29" s="272"/>
      <c r="H29" s="272"/>
      <c r="I29" s="272"/>
      <c r="J29" s="272"/>
      <c r="K29" s="272"/>
      <c r="L29" s="272"/>
      <c r="M29" s="272"/>
      <c r="N29" s="273"/>
    </row>
    <row r="30" spans="2:14" ht="24" customHeight="1" x14ac:dyDescent="0.25">
      <c r="B30" s="24">
        <v>8</v>
      </c>
      <c r="C30" s="268" t="s">
        <v>292</v>
      </c>
      <c r="D30" s="264">
        <f>'3. CSS'!F25</f>
        <v>9439346.8800000008</v>
      </c>
      <c r="E30" s="264">
        <f>'4. PEI'!F21</f>
        <v>2100499.5773876021</v>
      </c>
      <c r="F30" s="264">
        <f>'5. INN'!F22</f>
        <v>55638.64</v>
      </c>
      <c r="G30" s="264">
        <f>'6. WET'!F20</f>
        <v>96606.035424298083</v>
      </c>
      <c r="H30" s="264">
        <f>'7. CFTN'!F21</f>
        <v>2300436.5404936224</v>
      </c>
      <c r="I30" s="334"/>
      <c r="J30" s="264">
        <f>'8. WET RP, HP'!E14</f>
        <v>0</v>
      </c>
      <c r="K30" s="264">
        <f>'4. PEI'!F17</f>
        <v>65178.119999999995</v>
      </c>
      <c r="L30" s="264">
        <f>'8. WET RP, HP'!E15</f>
        <v>0</v>
      </c>
      <c r="M30" s="334"/>
      <c r="N30" s="264">
        <f t="shared" ref="N30:N35" si="1">SUM(D30:M30)</f>
        <v>14057705.793305524</v>
      </c>
    </row>
    <row r="31" spans="2:14" ht="24" customHeight="1" x14ac:dyDescent="0.25">
      <c r="B31" s="24">
        <v>9</v>
      </c>
      <c r="C31" s="262" t="s">
        <v>5</v>
      </c>
      <c r="D31" s="261">
        <f>'3. CSS'!G25</f>
        <v>1895141.6900000002</v>
      </c>
      <c r="E31" s="261">
        <f>'4. PEI'!G21</f>
        <v>0</v>
      </c>
      <c r="F31" s="261">
        <f>'5. INN'!G22</f>
        <v>0</v>
      </c>
      <c r="G31" s="261">
        <f>'6. WET'!G20</f>
        <v>0</v>
      </c>
      <c r="H31" s="261">
        <f>'7. CFTN'!G21</f>
        <v>0</v>
      </c>
      <c r="I31" s="7"/>
      <c r="J31" s="261">
        <f>'8. WET RP, HP'!F14</f>
        <v>0</v>
      </c>
      <c r="K31" s="261">
        <f>'4. PEI'!G17</f>
        <v>0</v>
      </c>
      <c r="L31" s="261">
        <f>'8. WET RP, HP'!F15</f>
        <v>0</v>
      </c>
      <c r="M31" s="327"/>
      <c r="N31" s="264">
        <f t="shared" si="1"/>
        <v>1895141.6900000002</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0</v>
      </c>
      <c r="E34" s="261">
        <f>'4. PEI'!J21</f>
        <v>0</v>
      </c>
      <c r="F34" s="261">
        <f>'5. INN'!J22</f>
        <v>0</v>
      </c>
      <c r="G34" s="261">
        <f>'6. WET'!J20</f>
        <v>0</v>
      </c>
      <c r="H34" s="261">
        <f>'7. CFTN'!J21</f>
        <v>0</v>
      </c>
      <c r="I34" s="7"/>
      <c r="J34" s="261">
        <f>'8. WET RP, HP'!I14</f>
        <v>0</v>
      </c>
      <c r="K34" s="261">
        <f>'4. PEI'!J17</f>
        <v>0</v>
      </c>
      <c r="L34" s="261">
        <f>'8. WET RP, HP'!I15</f>
        <v>0</v>
      </c>
      <c r="M34" s="327"/>
      <c r="N34" s="264">
        <f t="shared" si="1"/>
        <v>0</v>
      </c>
    </row>
    <row r="35" spans="2:14" ht="24" customHeight="1" x14ac:dyDescent="0.25">
      <c r="B35" s="24">
        <v>13</v>
      </c>
      <c r="C35" s="266" t="s">
        <v>25</v>
      </c>
      <c r="D35" s="267">
        <f>SUM(D30:D34)</f>
        <v>11334488.57</v>
      </c>
      <c r="E35" s="267">
        <f t="shared" ref="E35:L35" si="2">SUM(E30:E34)</f>
        <v>2100499.5773876021</v>
      </c>
      <c r="F35" s="267">
        <f t="shared" si="2"/>
        <v>55638.64</v>
      </c>
      <c r="G35" s="267">
        <f t="shared" si="2"/>
        <v>96606.035424298083</v>
      </c>
      <c r="H35" s="267">
        <f t="shared" si="2"/>
        <v>2300436.5404936224</v>
      </c>
      <c r="I35" s="267">
        <f t="shared" si="2"/>
        <v>0</v>
      </c>
      <c r="J35" s="267">
        <f t="shared" si="2"/>
        <v>0</v>
      </c>
      <c r="K35" s="267">
        <f t="shared" si="2"/>
        <v>65178.119999999995</v>
      </c>
      <c r="L35" s="267">
        <f t="shared" si="2"/>
        <v>0</v>
      </c>
      <c r="M35" s="7"/>
      <c r="N35" s="339">
        <f t="shared" si="1"/>
        <v>15952847.483305521</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314</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1149524.7633055227</v>
      </c>
      <c r="E41" s="263"/>
      <c r="F41" s="260"/>
      <c r="G41" s="260"/>
      <c r="H41" s="260"/>
      <c r="I41" s="260"/>
      <c r="J41" s="260"/>
      <c r="K41" s="260"/>
      <c r="L41" s="260"/>
      <c r="M41" s="260"/>
      <c r="N41" s="347"/>
    </row>
  </sheetData>
  <sheetProtection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horizontalDpi="4294967294" verticalDpi="4294967294"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33"/>
  <sheetViews>
    <sheetView showGridLines="0" topLeftCell="A13" zoomScale="70" zoomScaleNormal="70" zoomScaleSheetLayoutView="40" zoomScalePageLayoutView="70" workbookViewId="0">
      <selection sqref="A1:L47"/>
    </sheetView>
  </sheetViews>
  <sheetFormatPr defaultColWidth="9.140625" defaultRowHeight="15.75"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52"/>
      <c r="C1" s="452"/>
      <c r="D1" s="452"/>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53" t="s">
        <v>1</v>
      </c>
      <c r="C7" s="453"/>
      <c r="D7" s="9" t="str">
        <f>IF(ISBLANK('1. Information'!D8),"",'1. Information'!D8)</f>
        <v>Merced</v>
      </c>
      <c r="E7" s="281"/>
      <c r="F7" s="279" t="s">
        <v>2</v>
      </c>
      <c r="G7" s="282">
        <f>IF(ISBLANK('1. Information'!D7),"",'1. Information'!D7)</f>
        <v>43438</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5" t="s">
        <v>30</v>
      </c>
      <c r="H12" s="443"/>
      <c r="I12" s="443"/>
      <c r="J12" s="446"/>
      <c r="K12" s="303"/>
      <c r="L12"/>
    </row>
    <row r="13" spans="1:12" ht="47.25" x14ac:dyDescent="0.25">
      <c r="A13" s="281"/>
      <c r="B13" s="40"/>
      <c r="F13" s="30" t="s">
        <v>304</v>
      </c>
      <c r="G13" s="27" t="s">
        <v>5</v>
      </c>
      <c r="H13" s="44" t="s">
        <v>6</v>
      </c>
      <c r="I13" s="27" t="s">
        <v>31</v>
      </c>
      <c r="J13" s="27" t="s">
        <v>15</v>
      </c>
      <c r="K13" s="302" t="s">
        <v>281</v>
      </c>
      <c r="L13"/>
    </row>
    <row r="14" spans="1:12" x14ac:dyDescent="0.25">
      <c r="A14" s="281"/>
      <c r="B14" s="277">
        <v>1</v>
      </c>
      <c r="C14" s="450" t="s">
        <v>7</v>
      </c>
      <c r="D14" s="450"/>
      <c r="E14" s="450"/>
      <c r="F14" s="367"/>
      <c r="G14" s="368"/>
      <c r="H14" s="353"/>
      <c r="I14" s="290"/>
      <c r="J14" s="290"/>
      <c r="K14" s="292">
        <f>SUM(F14:J14)</f>
        <v>0</v>
      </c>
      <c r="L14"/>
    </row>
    <row r="15" spans="1:12" ht="15" customHeight="1" x14ac:dyDescent="0.25">
      <c r="A15" s="281"/>
      <c r="B15" s="277">
        <v>2</v>
      </c>
      <c r="C15" s="450" t="s">
        <v>8</v>
      </c>
      <c r="D15" s="450"/>
      <c r="E15" s="450"/>
      <c r="F15" s="367"/>
      <c r="G15" s="290"/>
      <c r="H15" s="290"/>
      <c r="I15" s="290"/>
      <c r="J15" s="290"/>
      <c r="K15" s="292">
        <f t="shared" ref="K15:K23" si="0">SUM(F15:J15)</f>
        <v>0</v>
      </c>
      <c r="L15"/>
    </row>
    <row r="16" spans="1:12" x14ac:dyDescent="0.25">
      <c r="A16" s="281"/>
      <c r="B16" s="277">
        <v>3</v>
      </c>
      <c r="C16" s="450" t="s">
        <v>129</v>
      </c>
      <c r="D16" s="450"/>
      <c r="E16" s="450"/>
      <c r="F16" s="367">
        <v>898790</v>
      </c>
      <c r="G16" s="290"/>
      <c r="H16" s="290"/>
      <c r="I16" s="290"/>
      <c r="J16" s="290"/>
      <c r="K16" s="292">
        <f t="shared" si="0"/>
        <v>898790</v>
      </c>
      <c r="L16"/>
    </row>
    <row r="17" spans="1:12" x14ac:dyDescent="0.25">
      <c r="A17" s="281"/>
      <c r="B17" s="277">
        <v>4</v>
      </c>
      <c r="C17" s="451" t="s">
        <v>218</v>
      </c>
      <c r="D17" s="451"/>
      <c r="E17" s="451"/>
      <c r="F17" s="367"/>
      <c r="G17" s="290"/>
      <c r="H17" s="290"/>
      <c r="I17" s="290"/>
      <c r="J17" s="290"/>
      <c r="K17" s="292">
        <f t="shared" si="0"/>
        <v>0</v>
      </c>
      <c r="L17"/>
    </row>
    <row r="18" spans="1:12" x14ac:dyDescent="0.25">
      <c r="A18" s="281"/>
      <c r="B18" s="277">
        <v>5</v>
      </c>
      <c r="C18" s="451" t="s">
        <v>219</v>
      </c>
      <c r="D18" s="451"/>
      <c r="E18" s="451"/>
      <c r="F18" s="367"/>
      <c r="G18" s="294"/>
      <c r="H18" s="294"/>
      <c r="I18" s="294"/>
      <c r="J18" s="294"/>
      <c r="K18" s="292">
        <f t="shared" si="0"/>
        <v>0</v>
      </c>
      <c r="L18"/>
    </row>
    <row r="19" spans="1:12" x14ac:dyDescent="0.25">
      <c r="A19" s="281"/>
      <c r="B19" s="277">
        <v>6</v>
      </c>
      <c r="C19" s="450" t="s">
        <v>216</v>
      </c>
      <c r="D19" s="450"/>
      <c r="E19" s="450"/>
      <c r="F19" s="290"/>
      <c r="G19" s="294"/>
      <c r="H19" s="294"/>
      <c r="I19" s="294"/>
      <c r="J19" s="294"/>
      <c r="K19" s="293">
        <f t="shared" si="0"/>
        <v>0</v>
      </c>
      <c r="L19"/>
    </row>
    <row r="20" spans="1:12" x14ac:dyDescent="0.25">
      <c r="A20" s="283"/>
      <c r="B20" s="256">
        <v>7</v>
      </c>
      <c r="C20" s="447" t="s">
        <v>226</v>
      </c>
      <c r="D20" s="448"/>
      <c r="E20" s="449"/>
      <c r="F20" s="290">
        <v>132148</v>
      </c>
      <c r="G20" s="293"/>
      <c r="H20" s="293"/>
      <c r="I20" s="293"/>
      <c r="J20" s="293"/>
      <c r="K20" s="293">
        <f t="shared" si="0"/>
        <v>132148</v>
      </c>
      <c r="L20"/>
    </row>
    <row r="21" spans="1:12" x14ac:dyDescent="0.25">
      <c r="A21" s="283"/>
      <c r="B21" s="256">
        <v>8</v>
      </c>
      <c r="C21" s="447" t="s">
        <v>227</v>
      </c>
      <c r="D21" s="448"/>
      <c r="E21" s="449"/>
      <c r="F21" s="290">
        <f>1919896+253924</f>
        <v>2173820</v>
      </c>
      <c r="G21" s="293"/>
      <c r="H21" s="293"/>
      <c r="I21" s="293"/>
      <c r="J21" s="293"/>
      <c r="K21" s="293">
        <f t="shared" si="0"/>
        <v>2173820</v>
      </c>
      <c r="L21"/>
    </row>
    <row r="22" spans="1:12" x14ac:dyDescent="0.25">
      <c r="A22" s="283"/>
      <c r="B22" s="256">
        <v>9</v>
      </c>
      <c r="C22" s="447" t="s">
        <v>225</v>
      </c>
      <c r="D22" s="448"/>
      <c r="E22" s="449"/>
      <c r="F22" s="290"/>
      <c r="G22" s="293"/>
      <c r="H22" s="293"/>
      <c r="I22" s="293"/>
      <c r="J22" s="293"/>
      <c r="K22" s="293">
        <f t="shared" si="0"/>
        <v>0</v>
      </c>
      <c r="L22"/>
    </row>
    <row r="23" spans="1:12" x14ac:dyDescent="0.25">
      <c r="A23" s="281"/>
      <c r="B23" s="277">
        <v>10</v>
      </c>
      <c r="C23" s="450" t="s">
        <v>140</v>
      </c>
      <c r="D23" s="450"/>
      <c r="E23" s="450"/>
      <c r="F23" s="294">
        <f>SUM(G33:G132)</f>
        <v>8540556.8800000008</v>
      </c>
      <c r="G23" s="293">
        <f>SUM(H33:H132)</f>
        <v>1895141.6900000002</v>
      </c>
      <c r="H23" s="293">
        <f>SUM(I33:I132)</f>
        <v>0</v>
      </c>
      <c r="I23" s="293">
        <f>SUM(J33:J132)</f>
        <v>0</v>
      </c>
      <c r="J23" s="293">
        <f>SUM(K33:K132)</f>
        <v>0</v>
      </c>
      <c r="K23" s="293">
        <f t="shared" si="0"/>
        <v>10435698.57</v>
      </c>
      <c r="L23"/>
    </row>
    <row r="24" spans="1:12" ht="30.95" customHeight="1" x14ac:dyDescent="0.25">
      <c r="A24" s="281"/>
      <c r="B24" s="277">
        <v>11</v>
      </c>
      <c r="C24" s="437" t="s">
        <v>223</v>
      </c>
      <c r="D24" s="438"/>
      <c r="E24" s="439"/>
      <c r="F24" s="7">
        <f>SUM(F14:F16,F18:F23)</f>
        <v>11745314.880000001</v>
      </c>
      <c r="G24" s="7">
        <f>SUM(G14:G16,G18:G23)</f>
        <v>1895141.6900000002</v>
      </c>
      <c r="H24" s="43">
        <f t="shared" ref="H24:J24" si="1">SUM(H14:H16,H18:H23)</f>
        <v>0</v>
      </c>
      <c r="I24" s="7">
        <f t="shared" si="1"/>
        <v>0</v>
      </c>
      <c r="J24" s="7">
        <f t="shared" si="1"/>
        <v>0</v>
      </c>
      <c r="K24" s="7">
        <f>SUM(K14:K16,K18:K23)</f>
        <v>13640456.57</v>
      </c>
      <c r="L24"/>
    </row>
    <row r="25" spans="1:12" s="325" customFormat="1" ht="30.95" customHeight="1" x14ac:dyDescent="0.25">
      <c r="A25" s="281"/>
      <c r="B25" s="277">
        <v>12</v>
      </c>
      <c r="C25" s="444" t="s">
        <v>286</v>
      </c>
      <c r="D25" s="444"/>
      <c r="E25" s="444"/>
      <c r="F25" s="7">
        <f>SUM(F14:F16,F18,F23)</f>
        <v>9439346.8800000008</v>
      </c>
      <c r="G25" s="299">
        <f t="shared" ref="G25:J25" si="2">SUM(G14:G16,G18,G23)</f>
        <v>1895141.6900000002</v>
      </c>
      <c r="H25" s="299">
        <f t="shared" si="2"/>
        <v>0</v>
      </c>
      <c r="I25" s="299">
        <f t="shared" si="2"/>
        <v>0</v>
      </c>
      <c r="J25" s="7">
        <f t="shared" si="2"/>
        <v>0</v>
      </c>
      <c r="K25" s="7">
        <f>SUM(K14:K16,K18,K23)</f>
        <v>11334488.57</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43" t="s">
        <v>166</v>
      </c>
      <c r="E31" s="443"/>
      <c r="F31" s="443"/>
      <c r="G31" s="344" t="s">
        <v>28</v>
      </c>
      <c r="H31" s="440" t="s">
        <v>30</v>
      </c>
      <c r="I31" s="441"/>
      <c r="J31" s="441"/>
      <c r="K31" s="442"/>
      <c r="L31" s="308"/>
    </row>
    <row r="32" spans="1:12" ht="87.75" customHeight="1" x14ac:dyDescent="0.25">
      <c r="A32" s="281"/>
      <c r="B32" s="62" t="s">
        <v>134</v>
      </c>
      <c r="C32" s="63" t="s">
        <v>195</v>
      </c>
      <c r="D32" s="64" t="s">
        <v>10</v>
      </c>
      <c r="E32" s="64" t="s">
        <v>4</v>
      </c>
      <c r="F32" s="64" t="s">
        <v>9</v>
      </c>
      <c r="G32" s="30" t="s">
        <v>304</v>
      </c>
      <c r="H32" s="64" t="s">
        <v>5</v>
      </c>
      <c r="I32" s="64" t="s">
        <v>6</v>
      </c>
      <c r="J32" s="64" t="s">
        <v>31</v>
      </c>
      <c r="K32" s="317" t="s">
        <v>15</v>
      </c>
      <c r="L32" s="302" t="s">
        <v>281</v>
      </c>
    </row>
    <row r="33" spans="1:12" x14ac:dyDescent="0.25">
      <c r="A33" s="281"/>
      <c r="B33" s="295">
        <v>1</v>
      </c>
      <c r="C33" s="296">
        <f t="shared" ref="C33:C64" si="3">IF(L33&lt;&gt;0,VLOOKUP($D$7,Info_County_Code,2,FALSE),"")</f>
        <v>24</v>
      </c>
      <c r="D33" s="416" t="s">
        <v>327</v>
      </c>
      <c r="E33" s="395"/>
      <c r="F33" s="297" t="s">
        <v>102</v>
      </c>
      <c r="G33" s="291">
        <v>3193058.6399999997</v>
      </c>
      <c r="H33" s="291">
        <f>45855.97+1021653.3</f>
        <v>1067509.27</v>
      </c>
      <c r="I33" s="291"/>
      <c r="J33" s="318"/>
      <c r="K33" s="291"/>
      <c r="L33" s="293">
        <f>SUM(G33:K33)</f>
        <v>4260567.91</v>
      </c>
    </row>
    <row r="34" spans="1:12" s="359" customFormat="1" x14ac:dyDescent="0.25">
      <c r="A34" s="281"/>
      <c r="B34" s="295">
        <v>2</v>
      </c>
      <c r="C34" s="296">
        <f t="shared" si="3"/>
        <v>24</v>
      </c>
      <c r="D34" s="416" t="s">
        <v>328</v>
      </c>
      <c r="E34" s="395"/>
      <c r="F34" s="297" t="s">
        <v>102</v>
      </c>
      <c r="G34" s="291">
        <v>1032199.4</v>
      </c>
      <c r="H34" s="291">
        <v>263418.36</v>
      </c>
      <c r="I34" s="291"/>
      <c r="J34" s="318"/>
      <c r="K34" s="291"/>
      <c r="L34" s="293">
        <f t="shared" ref="L34:L97" si="4">SUM(G34:K34)</f>
        <v>1295617.76</v>
      </c>
    </row>
    <row r="35" spans="1:12" s="359" customFormat="1" x14ac:dyDescent="0.25">
      <c r="A35" s="281"/>
      <c r="B35" s="295">
        <v>3</v>
      </c>
      <c r="C35" s="296">
        <f t="shared" si="3"/>
        <v>24</v>
      </c>
      <c r="D35" s="416" t="s">
        <v>329</v>
      </c>
      <c r="E35" s="395"/>
      <c r="F35" s="297" t="s">
        <v>103</v>
      </c>
      <c r="G35" s="291">
        <v>795435.79</v>
      </c>
      <c r="H35" s="291">
        <f>85730.48+23166.92+9206.65</f>
        <v>118104.04999999999</v>
      </c>
      <c r="I35" s="291"/>
      <c r="J35" s="318"/>
      <c r="K35" s="291"/>
      <c r="L35" s="293">
        <f t="shared" si="4"/>
        <v>913539.84000000008</v>
      </c>
    </row>
    <row r="36" spans="1:12" s="359" customFormat="1" x14ac:dyDescent="0.25">
      <c r="A36" s="281"/>
      <c r="B36" s="295">
        <v>4</v>
      </c>
      <c r="C36" s="296">
        <f t="shared" si="3"/>
        <v>24</v>
      </c>
      <c r="D36" s="416" t="s">
        <v>330</v>
      </c>
      <c r="E36" s="395"/>
      <c r="F36" s="297" t="s">
        <v>103</v>
      </c>
      <c r="G36" s="291">
        <v>8196.93</v>
      </c>
      <c r="H36" s="291">
        <v>112003.6</v>
      </c>
      <c r="I36" s="291"/>
      <c r="J36" s="318"/>
      <c r="K36" s="291"/>
      <c r="L36" s="293">
        <f t="shared" si="4"/>
        <v>120200.53</v>
      </c>
    </row>
    <row r="37" spans="1:12" s="359" customFormat="1" x14ac:dyDescent="0.25">
      <c r="A37" s="281"/>
      <c r="B37" s="295">
        <v>5</v>
      </c>
      <c r="C37" s="296">
        <f t="shared" si="3"/>
        <v>24</v>
      </c>
      <c r="D37" s="416" t="s">
        <v>331</v>
      </c>
      <c r="E37" s="395"/>
      <c r="F37" s="297" t="s">
        <v>103</v>
      </c>
      <c r="G37" s="291">
        <v>311897.71999999997</v>
      </c>
      <c r="H37" s="291">
        <v>6597.76</v>
      </c>
      <c r="I37" s="291"/>
      <c r="J37" s="318"/>
      <c r="K37" s="291"/>
      <c r="L37" s="293">
        <f t="shared" si="4"/>
        <v>318495.48</v>
      </c>
    </row>
    <row r="38" spans="1:12" s="359" customFormat="1" x14ac:dyDescent="0.25">
      <c r="A38" s="281"/>
      <c r="B38" s="295">
        <v>6</v>
      </c>
      <c r="C38" s="296">
        <f t="shared" si="3"/>
        <v>24</v>
      </c>
      <c r="D38" s="290" t="s">
        <v>332</v>
      </c>
      <c r="E38" s="395"/>
      <c r="F38" s="297" t="s">
        <v>103</v>
      </c>
      <c r="G38" s="291">
        <v>274455.59000000003</v>
      </c>
      <c r="H38" s="291">
        <v>16534.62</v>
      </c>
      <c r="I38" s="291"/>
      <c r="J38" s="318"/>
      <c r="K38" s="291"/>
      <c r="L38" s="293">
        <f t="shared" si="4"/>
        <v>290990.21000000002</v>
      </c>
    </row>
    <row r="39" spans="1:12" s="359" customFormat="1" x14ac:dyDescent="0.25">
      <c r="A39" s="281"/>
      <c r="B39" s="295">
        <v>7</v>
      </c>
      <c r="C39" s="296">
        <f t="shared" si="3"/>
        <v>24</v>
      </c>
      <c r="D39" s="417" t="s">
        <v>333</v>
      </c>
      <c r="E39" s="395"/>
      <c r="F39" s="297" t="s">
        <v>103</v>
      </c>
      <c r="G39" s="291">
        <v>385375.11</v>
      </c>
      <c r="H39" s="291">
        <v>2441.75</v>
      </c>
      <c r="I39" s="291"/>
      <c r="J39" s="318"/>
      <c r="K39" s="291"/>
      <c r="L39" s="293">
        <f t="shared" si="4"/>
        <v>387816.86</v>
      </c>
    </row>
    <row r="40" spans="1:12" s="359" customFormat="1" x14ac:dyDescent="0.25">
      <c r="A40" s="281"/>
      <c r="B40" s="295">
        <v>8</v>
      </c>
      <c r="C40" s="296">
        <f t="shared" si="3"/>
        <v>24</v>
      </c>
      <c r="D40" s="417" t="s">
        <v>334</v>
      </c>
      <c r="E40" s="395"/>
      <c r="F40" s="297" t="s">
        <v>103</v>
      </c>
      <c r="G40" s="291">
        <v>398230.86999999994</v>
      </c>
      <c r="H40" s="291">
        <v>24504.080000000002</v>
      </c>
      <c r="I40" s="291"/>
      <c r="J40" s="318"/>
      <c r="K40" s="291"/>
      <c r="L40" s="293">
        <f t="shared" si="4"/>
        <v>422734.94999999995</v>
      </c>
    </row>
    <row r="41" spans="1:12" s="359" customFormat="1" x14ac:dyDescent="0.25">
      <c r="A41" s="281"/>
      <c r="B41" s="295">
        <v>9</v>
      </c>
      <c r="C41" s="296">
        <f t="shared" si="3"/>
        <v>24</v>
      </c>
      <c r="D41" s="417" t="s">
        <v>335</v>
      </c>
      <c r="E41" s="395"/>
      <c r="F41" s="297" t="s">
        <v>103</v>
      </c>
      <c r="G41" s="291">
        <v>1008645.1599999999</v>
      </c>
      <c r="H41" s="291">
        <v>37665.800000000003</v>
      </c>
      <c r="I41" s="291"/>
      <c r="J41" s="318"/>
      <c r="K41" s="291"/>
      <c r="L41" s="293">
        <f t="shared" si="4"/>
        <v>1046310.96</v>
      </c>
    </row>
    <row r="42" spans="1:12" s="359" customFormat="1" x14ac:dyDescent="0.25">
      <c r="A42" s="281"/>
      <c r="B42" s="295">
        <v>10</v>
      </c>
      <c r="C42" s="296">
        <f t="shared" si="3"/>
        <v>24</v>
      </c>
      <c r="D42" s="417" t="s">
        <v>336</v>
      </c>
      <c r="E42" s="395"/>
      <c r="F42" s="297" t="s">
        <v>103</v>
      </c>
      <c r="G42" s="291">
        <v>439270.67</v>
      </c>
      <c r="H42" s="291">
        <f>87813.99+46719.96+11102.76</f>
        <v>145636.71000000002</v>
      </c>
      <c r="I42" s="291"/>
      <c r="J42" s="318"/>
      <c r="K42" s="291"/>
      <c r="L42" s="293">
        <f t="shared" si="4"/>
        <v>584907.38</v>
      </c>
    </row>
    <row r="43" spans="1:12" s="359" customFormat="1" x14ac:dyDescent="0.25">
      <c r="A43" s="281"/>
      <c r="B43" s="295">
        <v>11</v>
      </c>
      <c r="C43" s="296">
        <f t="shared" si="3"/>
        <v>24</v>
      </c>
      <c r="D43" s="417" t="s">
        <v>337</v>
      </c>
      <c r="E43" s="395"/>
      <c r="F43" s="297" t="s">
        <v>103</v>
      </c>
      <c r="G43" s="291">
        <v>11777.83</v>
      </c>
      <c r="H43" s="291">
        <v>2992.73</v>
      </c>
      <c r="I43" s="291"/>
      <c r="J43" s="318"/>
      <c r="K43" s="291"/>
      <c r="L43" s="293">
        <f t="shared" si="4"/>
        <v>14770.56</v>
      </c>
    </row>
    <row r="44" spans="1:12" s="359" customFormat="1" x14ac:dyDescent="0.25">
      <c r="A44" s="281"/>
      <c r="B44" s="295">
        <v>12</v>
      </c>
      <c r="C44" s="296">
        <f t="shared" si="3"/>
        <v>24</v>
      </c>
      <c r="D44" s="417" t="s">
        <v>338</v>
      </c>
      <c r="E44" s="395"/>
      <c r="F44" s="297" t="s">
        <v>103</v>
      </c>
      <c r="G44" s="291">
        <v>434547.5</v>
      </c>
      <c r="H44" s="291">
        <f>60602.08+37130.88</f>
        <v>97732.959999999992</v>
      </c>
      <c r="I44" s="291"/>
      <c r="J44" s="318"/>
      <c r="K44" s="291"/>
      <c r="L44" s="293">
        <f t="shared" si="4"/>
        <v>532280.46</v>
      </c>
    </row>
    <row r="45" spans="1:12" s="359" customFormat="1" x14ac:dyDescent="0.25">
      <c r="A45" s="281"/>
      <c r="B45" s="295">
        <v>13</v>
      </c>
      <c r="C45" s="296">
        <f t="shared" si="3"/>
        <v>24</v>
      </c>
      <c r="D45" s="417" t="s">
        <v>339</v>
      </c>
      <c r="E45" s="395"/>
      <c r="F45" s="297" t="s">
        <v>103</v>
      </c>
      <c r="G45" s="291">
        <f>247336.29+129.38</f>
        <v>247465.67</v>
      </c>
      <c r="H45" s="291"/>
      <c r="I45" s="291"/>
      <c r="J45" s="318"/>
      <c r="K45" s="291"/>
      <c r="L45" s="293">
        <f t="shared" si="4"/>
        <v>247465.67</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sheetData>
  <sheetProtection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scale="47" orientation="landscape" horizontalDpi="4294967294" verticalDpi="4294967294" r:id="rId1"/>
  <headerFooter>
    <oddFooter>&amp;C&amp;"Arial,Regular"&amp;16Page &amp;P of &amp;N</oddFooter>
  </headerFooter>
  <rowBreaks count="2" manualBreakCount="2">
    <brk id="27"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B1:AN136"/>
  <sheetViews>
    <sheetView showGridLines="0" topLeftCell="A31" zoomScale="90" zoomScaleNormal="90" zoomScaleSheetLayoutView="40" zoomScalePageLayoutView="80" workbookViewId="0">
      <selection activeCell="E46" sqref="E46"/>
    </sheetView>
  </sheetViews>
  <sheetFormatPr defaultColWidth="9.140625" defaultRowHeight="15.75"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4" width="15" customWidth="1"/>
    <col min="25" max="40" width="9.140625" customWidth="1"/>
    <col min="41" max="16380" width="9.140625" style="108" customWidth="1"/>
    <col min="16381" max="16384" width="9.140625" style="108"/>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5" t="s">
        <v>1</v>
      </c>
      <c r="C7" s="446"/>
      <c r="D7" s="9" t="str">
        <f>IF(ISBLANK('1. Information'!D8),"",'1. Information'!D8)</f>
        <v>Merced</v>
      </c>
      <c r="F7" s="94" t="s">
        <v>2</v>
      </c>
      <c r="G7" s="109">
        <f>IF(ISBLANK('1. Information'!D7),"",'1. Information'!D7)</f>
        <v>43438</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5" t="s">
        <v>30</v>
      </c>
      <c r="H12" s="443"/>
      <c r="I12" s="443"/>
      <c r="J12" s="446"/>
      <c r="K12" s="303"/>
      <c r="L12"/>
      <c r="M12"/>
      <c r="N12"/>
      <c r="O12"/>
      <c r="P12"/>
      <c r="Q12"/>
      <c r="AL12" s="108"/>
      <c r="AM12" s="108"/>
      <c r="AN12" s="108"/>
    </row>
    <row r="13" spans="2:40" ht="47.25" customHeight="1" x14ac:dyDescent="0.25">
      <c r="C13" s="457"/>
      <c r="D13" s="457"/>
      <c r="E13" s="457"/>
      <c r="F13" s="30" t="s">
        <v>304</v>
      </c>
      <c r="G13" s="27" t="s">
        <v>5</v>
      </c>
      <c r="H13" s="27" t="s">
        <v>6</v>
      </c>
      <c r="I13" s="27" t="s">
        <v>31</v>
      </c>
      <c r="J13" s="27" t="s">
        <v>15</v>
      </c>
      <c r="K13" s="301" t="s">
        <v>281</v>
      </c>
      <c r="L13"/>
      <c r="M13"/>
      <c r="N13"/>
      <c r="O13"/>
      <c r="P13"/>
      <c r="Q13"/>
      <c r="AL13" s="108"/>
      <c r="AM13" s="108"/>
      <c r="AN13" s="108"/>
    </row>
    <row r="14" spans="2:40" s="110" customFormat="1" x14ac:dyDescent="0.25">
      <c r="B14" s="256">
        <v>1</v>
      </c>
      <c r="C14" s="451" t="s">
        <v>3</v>
      </c>
      <c r="D14" s="451"/>
      <c r="E14" s="447"/>
      <c r="F14" s="291"/>
      <c r="G14" s="353"/>
      <c r="H14" s="353"/>
      <c r="I14" s="353"/>
      <c r="J14" s="353"/>
      <c r="K14" s="292">
        <f>SUM(F14:J14)</f>
        <v>0</v>
      </c>
      <c r="L14" s="423"/>
      <c r="M14" s="423"/>
      <c r="N14" s="424"/>
      <c r="O14" s="424"/>
      <c r="P14"/>
      <c r="Q14"/>
      <c r="R14" s="414"/>
      <c r="S14"/>
      <c r="T14"/>
      <c r="U14"/>
      <c r="V14"/>
      <c r="W14"/>
      <c r="X14"/>
      <c r="Y14"/>
      <c r="Z14"/>
      <c r="AA14"/>
      <c r="AB14"/>
      <c r="AC14"/>
      <c r="AD14"/>
      <c r="AE14"/>
      <c r="AF14"/>
      <c r="AG14"/>
      <c r="AH14"/>
      <c r="AI14"/>
      <c r="AJ14"/>
      <c r="AK14"/>
    </row>
    <row r="15" spans="2:40" s="110" customFormat="1" ht="15" customHeight="1" x14ac:dyDescent="0.25">
      <c r="B15" s="256">
        <v>2</v>
      </c>
      <c r="C15" s="451" t="s">
        <v>133</v>
      </c>
      <c r="D15" s="451"/>
      <c r="E15" s="447"/>
      <c r="F15" s="291"/>
      <c r="G15" s="353"/>
      <c r="H15" s="353"/>
      <c r="I15" s="353"/>
      <c r="J15" s="353"/>
      <c r="K15" s="292">
        <f t="shared" ref="K15:K20" si="0">SUM(F15:J15)</f>
        <v>0</v>
      </c>
      <c r="L15" s="425"/>
      <c r="M15" s="425"/>
      <c r="N15" s="426"/>
      <c r="O15" s="427"/>
      <c r="P15"/>
      <c r="Q15"/>
      <c r="R15" s="414"/>
      <c r="S15"/>
      <c r="T15"/>
      <c r="U15"/>
      <c r="V15"/>
      <c r="W15"/>
      <c r="X15"/>
      <c r="Y15"/>
      <c r="Z15"/>
      <c r="AA15"/>
      <c r="AB15"/>
      <c r="AC15"/>
      <c r="AD15"/>
      <c r="AE15"/>
      <c r="AF15"/>
      <c r="AG15"/>
      <c r="AH15"/>
      <c r="AI15"/>
      <c r="AJ15"/>
      <c r="AK15"/>
    </row>
    <row r="16" spans="2:40" s="110" customFormat="1" ht="15" customHeight="1" x14ac:dyDescent="0.25">
      <c r="B16" s="256">
        <v>3</v>
      </c>
      <c r="C16" s="458" t="s">
        <v>149</v>
      </c>
      <c r="D16" s="458"/>
      <c r="E16" s="459"/>
      <c r="F16" s="388">
        <v>200004.10738760245</v>
      </c>
      <c r="G16" s="387"/>
      <c r="H16" s="387"/>
      <c r="I16" s="387"/>
      <c r="J16" s="387"/>
      <c r="K16" s="292">
        <f t="shared" si="0"/>
        <v>200004.10738760245</v>
      </c>
      <c r="L16" s="425"/>
      <c r="M16" s="425"/>
      <c r="N16" s="426"/>
      <c r="O16" s="426"/>
      <c r="P16"/>
      <c r="Q16"/>
      <c r="R16" s="414"/>
      <c r="S16"/>
      <c r="T16"/>
      <c r="U16"/>
      <c r="V16"/>
      <c r="W16"/>
      <c r="X16"/>
      <c r="Y16"/>
      <c r="Z16"/>
      <c r="AA16"/>
      <c r="AB16"/>
      <c r="AC16"/>
      <c r="AD16"/>
      <c r="AE16"/>
      <c r="AF16"/>
      <c r="AG16"/>
      <c r="AH16"/>
      <c r="AI16"/>
      <c r="AJ16"/>
      <c r="AK16"/>
    </row>
    <row r="17" spans="2:40" s="110" customFormat="1" ht="15" customHeight="1" x14ac:dyDescent="0.25">
      <c r="B17" s="256">
        <v>4</v>
      </c>
      <c r="C17" s="451" t="s">
        <v>228</v>
      </c>
      <c r="D17" s="451"/>
      <c r="E17" s="447"/>
      <c r="F17" s="291">
        <f>53156.71+6414+5607.41</f>
        <v>65178.119999999995</v>
      </c>
      <c r="G17" s="387"/>
      <c r="H17" s="387"/>
      <c r="I17" s="387"/>
      <c r="J17" s="387"/>
      <c r="K17" s="292">
        <f t="shared" si="0"/>
        <v>65178.119999999995</v>
      </c>
      <c r="L17" s="425"/>
      <c r="M17" s="425"/>
      <c r="N17" s="426"/>
      <c r="O17" s="426"/>
      <c r="P17"/>
      <c r="Q17"/>
      <c r="R17" s="414"/>
      <c r="S17"/>
      <c r="T17"/>
      <c r="U17"/>
      <c r="V17"/>
      <c r="W17"/>
      <c r="X17"/>
      <c r="Y17"/>
      <c r="Z17"/>
      <c r="AA17"/>
      <c r="AB17"/>
      <c r="AC17"/>
      <c r="AD17"/>
      <c r="AE17"/>
      <c r="AF17"/>
      <c r="AG17"/>
      <c r="AH17"/>
      <c r="AI17"/>
      <c r="AJ17"/>
      <c r="AK17"/>
    </row>
    <row r="18" spans="2:40" s="110" customFormat="1" ht="15" customHeight="1" x14ac:dyDescent="0.25">
      <c r="B18" s="256">
        <v>5</v>
      </c>
      <c r="C18" s="451" t="s">
        <v>215</v>
      </c>
      <c r="D18" s="451"/>
      <c r="E18" s="447"/>
      <c r="F18" s="389"/>
      <c r="G18" s="403"/>
      <c r="H18" s="403"/>
      <c r="I18" s="403"/>
      <c r="J18" s="403"/>
      <c r="K18" s="292">
        <f t="shared" si="0"/>
        <v>0</v>
      </c>
      <c r="L18" s="425"/>
      <c r="M18" s="425"/>
      <c r="N18" s="426"/>
      <c r="O18" s="426"/>
      <c r="P18"/>
      <c r="Q18"/>
      <c r="R18" s="414"/>
      <c r="S18"/>
      <c r="T18"/>
      <c r="U18"/>
      <c r="V18"/>
      <c r="W18"/>
      <c r="X18"/>
      <c r="Y18"/>
      <c r="Z18"/>
      <c r="AA18"/>
      <c r="AB18"/>
      <c r="AC18"/>
      <c r="AD18"/>
      <c r="AE18"/>
      <c r="AF18"/>
      <c r="AG18"/>
      <c r="AH18"/>
      <c r="AI18"/>
      <c r="AJ18"/>
      <c r="AK18"/>
    </row>
    <row r="19" spans="2:40" s="110" customFormat="1" ht="15" customHeight="1" x14ac:dyDescent="0.25">
      <c r="B19" s="256">
        <v>6</v>
      </c>
      <c r="C19" s="451" t="s">
        <v>217</v>
      </c>
      <c r="D19" s="451"/>
      <c r="E19" s="447"/>
      <c r="F19" s="291"/>
      <c r="G19" s="403"/>
      <c r="H19" s="403"/>
      <c r="I19" s="403"/>
      <c r="J19" s="403"/>
      <c r="K19" s="292">
        <f t="shared" si="0"/>
        <v>0</v>
      </c>
      <c r="L19" s="425"/>
      <c r="M19" s="425"/>
      <c r="N19" s="426"/>
      <c r="O19" s="426"/>
      <c r="P19"/>
      <c r="Q19"/>
      <c r="R19" s="414"/>
      <c r="S19"/>
      <c r="T19"/>
      <c r="U19"/>
      <c r="V19"/>
      <c r="W19"/>
      <c r="X19"/>
      <c r="Y19"/>
      <c r="Z19"/>
      <c r="AA19"/>
      <c r="AB19"/>
      <c r="AC19"/>
      <c r="AD19"/>
      <c r="AE19"/>
      <c r="AF19"/>
      <c r="AG19"/>
      <c r="AH19"/>
      <c r="AI19"/>
      <c r="AJ19"/>
      <c r="AK19"/>
    </row>
    <row r="20" spans="2:40" s="110" customFormat="1" ht="15" customHeight="1" x14ac:dyDescent="0.25">
      <c r="B20" s="256">
        <v>7</v>
      </c>
      <c r="C20" s="450" t="s">
        <v>150</v>
      </c>
      <c r="D20" s="450"/>
      <c r="E20" s="450"/>
      <c r="F20" s="315">
        <f>SUMIF($G$36:$G$135,"Combined Summary",L$36:L$135) + SUMIF($F$36:$F$135,"Standalone",L$36:L$135)</f>
        <v>1900495.4699999997</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1900495.4699999997</v>
      </c>
      <c r="L20" s="425"/>
      <c r="M20" s="425"/>
      <c r="N20" s="426"/>
      <c r="O20" s="425"/>
      <c r="P20"/>
      <c r="Q20"/>
      <c r="R20" s="414"/>
      <c r="S20"/>
      <c r="T20"/>
      <c r="U20"/>
      <c r="V20"/>
      <c r="W20"/>
      <c r="X20"/>
      <c r="Y20"/>
      <c r="Z20"/>
      <c r="AA20"/>
      <c r="AB20"/>
      <c r="AC20"/>
      <c r="AD20"/>
      <c r="AE20"/>
      <c r="AF20"/>
      <c r="AG20"/>
      <c r="AH20"/>
      <c r="AI20"/>
      <c r="AJ20"/>
      <c r="AK20"/>
    </row>
    <row r="21" spans="2:40" s="110" customFormat="1" ht="30.95" customHeight="1" x14ac:dyDescent="0.25">
      <c r="B21" s="123">
        <v>8</v>
      </c>
      <c r="C21" s="463" t="s">
        <v>229</v>
      </c>
      <c r="D21" s="463"/>
      <c r="E21" s="463"/>
      <c r="F21" s="8">
        <f>SUM(F14:F16,F19:F20)</f>
        <v>2100499.5773876021</v>
      </c>
      <c r="G21" s="8">
        <f t="shared" ref="G21:K21" si="1">SUM(G14:G16,G19:G20)</f>
        <v>0</v>
      </c>
      <c r="H21" s="8">
        <f t="shared" si="1"/>
        <v>0</v>
      </c>
      <c r="I21" s="8">
        <f t="shared" si="1"/>
        <v>0</v>
      </c>
      <c r="J21" s="8">
        <f t="shared" si="1"/>
        <v>0</v>
      </c>
      <c r="K21" s="8">
        <f t="shared" si="1"/>
        <v>2100499.5773876021</v>
      </c>
      <c r="L21" s="425"/>
      <c r="M21" s="428"/>
      <c r="N21" s="425"/>
      <c r="O21" s="425"/>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s="425"/>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62" t="s">
        <v>234</v>
      </c>
      <c r="G26" s="460" t="s">
        <v>233</v>
      </c>
      <c r="H26" s="110"/>
      <c r="I26" s="110"/>
      <c r="J26" s="110"/>
      <c r="K26" s="110"/>
      <c r="L26" s="110"/>
      <c r="M26" s="110"/>
      <c r="N26" s="110"/>
      <c r="O26" s="110"/>
      <c r="P26" s="110"/>
      <c r="Q26" s="110"/>
    </row>
    <row r="27" spans="2:40" ht="15" customHeight="1" x14ac:dyDescent="0.25">
      <c r="B27" s="99"/>
      <c r="C27" s="99"/>
      <c r="D27" s="99"/>
      <c r="E27" s="99"/>
      <c r="F27" s="462"/>
      <c r="G27" s="460"/>
      <c r="H27" s="110"/>
      <c r="I27" s="110"/>
      <c r="J27" s="110"/>
      <c r="K27" s="110"/>
      <c r="L27" s="110"/>
      <c r="M27" s="110"/>
      <c r="N27" s="110"/>
      <c r="O27" s="110"/>
      <c r="P27" s="110"/>
      <c r="Q27" s="110"/>
    </row>
    <row r="28" spans="2:40" x14ac:dyDescent="0.25">
      <c r="B28" s="99"/>
      <c r="C28" s="99"/>
      <c r="D28" s="99"/>
      <c r="E28" s="99"/>
      <c r="F28" s="462"/>
      <c r="G28" s="461"/>
      <c r="H28" s="110"/>
      <c r="I28" s="110"/>
      <c r="J28" s="110"/>
      <c r="K28" s="110"/>
      <c r="L28" s="110"/>
      <c r="M28" s="110"/>
      <c r="N28" s="110"/>
      <c r="O28" s="110"/>
      <c r="P28" s="110"/>
      <c r="Q28" s="110"/>
    </row>
    <row r="29" spans="2:40" ht="51.75" customHeight="1" x14ac:dyDescent="0.25">
      <c r="B29" s="130">
        <v>1</v>
      </c>
      <c r="C29" s="454" t="s">
        <v>245</v>
      </c>
      <c r="D29" s="455"/>
      <c r="E29" s="456"/>
      <c r="F29" s="10">
        <f>IF(F21=0,"",((SUMPRODUCT($K$36:$K$135,$L$36:$L$135)+(F19*G29))/$F$21))</f>
        <v>0.59246922432032345</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43" t="s">
        <v>165</v>
      </c>
      <c r="E34" s="443"/>
      <c r="F34" s="443"/>
      <c r="G34" s="443"/>
      <c r="H34" s="443"/>
      <c r="I34" s="443"/>
      <c r="J34" s="443"/>
      <c r="K34" s="443"/>
      <c r="L34" s="340" t="s">
        <v>28</v>
      </c>
      <c r="M34" s="445" t="s">
        <v>30</v>
      </c>
      <c r="N34" s="443"/>
      <c r="O34" s="443"/>
      <c r="P34" s="446"/>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304</v>
      </c>
      <c r="M35" s="49" t="s">
        <v>5</v>
      </c>
      <c r="N35" s="31" t="s">
        <v>6</v>
      </c>
      <c r="O35" s="31" t="s">
        <v>31</v>
      </c>
      <c r="P35" s="31" t="s">
        <v>15</v>
      </c>
      <c r="Q35" s="306" t="s">
        <v>281</v>
      </c>
      <c r="R35" s="408" t="s">
        <v>318</v>
      </c>
      <c r="S35" s="406" t="s">
        <v>318</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24</v>
      </c>
      <c r="D36" s="395" t="s">
        <v>343</v>
      </c>
      <c r="E36" s="395"/>
      <c r="F36" s="416" t="s">
        <v>144</v>
      </c>
      <c r="G36" s="417" t="s">
        <v>230</v>
      </c>
      <c r="H36" s="416" t="s">
        <v>35</v>
      </c>
      <c r="I36" s="134">
        <v>1</v>
      </c>
      <c r="J36" s="134">
        <v>1</v>
      </c>
      <c r="K36" s="350">
        <f>IF(OR(G36="Combined Summary",F36="Standalone"),(SUMPRODUCT(--(D$36:D$135=D36),I$36:I$135,J$36:J$135)),"")</f>
        <v>1</v>
      </c>
      <c r="L36" s="291">
        <v>167106.54</v>
      </c>
      <c r="M36" s="352"/>
      <c r="N36" s="116"/>
      <c r="O36" s="116"/>
      <c r="P36" s="116"/>
      <c r="Q36" s="351">
        <f>SUM(L36:P36)</f>
        <v>167106.54</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24</v>
      </c>
      <c r="D37" s="395" t="s">
        <v>344</v>
      </c>
      <c r="E37" s="395"/>
      <c r="F37" s="416" t="s">
        <v>144</v>
      </c>
      <c r="G37" s="417" t="s">
        <v>230</v>
      </c>
      <c r="H37" s="416" t="s">
        <v>35</v>
      </c>
      <c r="I37" s="134">
        <v>1</v>
      </c>
      <c r="J37" s="134">
        <v>0.41</v>
      </c>
      <c r="K37" s="350">
        <f t="shared" ref="K37:K100" si="3">IF(OR(G37="Combined Summary",F37="Standalone"),(SUMPRODUCT(--(D$36:D$135=D37),I$36:I$135,J$36:J$135)),"")</f>
        <v>0.41</v>
      </c>
      <c r="L37" s="291">
        <v>240799.48</v>
      </c>
      <c r="M37" s="352"/>
      <c r="N37" s="116"/>
      <c r="O37" s="116"/>
      <c r="P37" s="116"/>
      <c r="Q37" s="351">
        <f t="shared" ref="Q37:Q100" si="4">SUM(L37:P37)</f>
        <v>240799.48</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ht="15.75" customHeight="1" x14ac:dyDescent="0.25">
      <c r="B38" s="363">
        <v>3</v>
      </c>
      <c r="C38" s="132">
        <f t="shared" si="2"/>
        <v>24</v>
      </c>
      <c r="D38" s="395" t="s">
        <v>345</v>
      </c>
      <c r="E38" s="395"/>
      <c r="F38" s="416" t="s">
        <v>144</v>
      </c>
      <c r="G38" s="417" t="s">
        <v>230</v>
      </c>
      <c r="H38" s="416" t="s">
        <v>35</v>
      </c>
      <c r="I38" s="134">
        <v>1</v>
      </c>
      <c r="J38" s="134">
        <v>1</v>
      </c>
      <c r="K38" s="350">
        <f t="shared" si="3"/>
        <v>1</v>
      </c>
      <c r="L38" s="291">
        <v>525576.12</v>
      </c>
      <c r="M38" s="352"/>
      <c r="N38" s="116"/>
      <c r="O38" s="116"/>
      <c r="P38" s="116"/>
      <c r="Q38" s="351">
        <f t="shared" si="4"/>
        <v>525576.12</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24</v>
      </c>
      <c r="D39" s="395" t="s">
        <v>346</v>
      </c>
      <c r="E39" s="395"/>
      <c r="F39" s="125" t="s">
        <v>144</v>
      </c>
      <c r="G39" s="417" t="s">
        <v>230</v>
      </c>
      <c r="H39" s="416" t="s">
        <v>35</v>
      </c>
      <c r="I39" s="134">
        <v>1</v>
      </c>
      <c r="J39" s="134">
        <v>0.41</v>
      </c>
      <c r="K39" s="350">
        <f t="shared" si="3"/>
        <v>0.41</v>
      </c>
      <c r="L39" s="291">
        <v>229474.44</v>
      </c>
      <c r="M39" s="352"/>
      <c r="N39" s="116"/>
      <c r="O39" s="116"/>
      <c r="P39" s="116"/>
      <c r="Q39" s="351">
        <f t="shared" si="4"/>
        <v>229474.44</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24</v>
      </c>
      <c r="D40" s="395" t="s">
        <v>347</v>
      </c>
      <c r="E40" s="395"/>
      <c r="F40" s="416" t="s">
        <v>144</v>
      </c>
      <c r="G40" s="417" t="s">
        <v>230</v>
      </c>
      <c r="H40" s="416" t="s">
        <v>35</v>
      </c>
      <c r="I40" s="134">
        <v>1</v>
      </c>
      <c r="J40" s="134">
        <v>1</v>
      </c>
      <c r="K40" s="350">
        <f t="shared" si="3"/>
        <v>1</v>
      </c>
      <c r="L40" s="291">
        <v>95924.479999999996</v>
      </c>
      <c r="M40" s="352"/>
      <c r="N40" s="116"/>
      <c r="O40" s="116"/>
      <c r="P40" s="116"/>
      <c r="Q40" s="351">
        <f t="shared" si="4"/>
        <v>95924.479999999996</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ht="30.75" x14ac:dyDescent="0.25">
      <c r="B41" s="363">
        <v>6</v>
      </c>
      <c r="C41" s="132">
        <f t="shared" si="2"/>
        <v>24</v>
      </c>
      <c r="D41" s="395" t="s">
        <v>348</v>
      </c>
      <c r="E41" s="395"/>
      <c r="F41" s="416" t="s">
        <v>144</v>
      </c>
      <c r="G41" s="107" t="s">
        <v>230</v>
      </c>
      <c r="H41" s="416" t="s">
        <v>35</v>
      </c>
      <c r="I41" s="134">
        <v>1</v>
      </c>
      <c r="J41" s="134">
        <v>0.41</v>
      </c>
      <c r="K41" s="350">
        <f t="shared" si="3"/>
        <v>0.41</v>
      </c>
      <c r="L41" s="291">
        <v>354531.11</v>
      </c>
      <c r="M41" s="352"/>
      <c r="N41" s="116"/>
      <c r="O41" s="116"/>
      <c r="P41" s="116"/>
      <c r="Q41" s="351">
        <f t="shared" si="4"/>
        <v>354531.11</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24</v>
      </c>
      <c r="D42" s="395" t="s">
        <v>349</v>
      </c>
      <c r="E42" s="395"/>
      <c r="F42" s="416" t="s">
        <v>144</v>
      </c>
      <c r="G42" s="417" t="s">
        <v>230</v>
      </c>
      <c r="H42" s="416" t="s">
        <v>35</v>
      </c>
      <c r="I42" s="134">
        <v>1</v>
      </c>
      <c r="J42" s="134">
        <v>0.41</v>
      </c>
      <c r="K42" s="350">
        <f t="shared" si="3"/>
        <v>0.41</v>
      </c>
      <c r="L42" s="291">
        <v>71152.03</v>
      </c>
      <c r="M42" s="352"/>
      <c r="N42" s="116"/>
      <c r="O42" s="116"/>
      <c r="P42" s="116"/>
      <c r="Q42" s="351">
        <f t="shared" si="4"/>
        <v>71152.03</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ht="30.75" x14ac:dyDescent="0.25">
      <c r="B43" s="363">
        <v>8</v>
      </c>
      <c r="C43" s="132">
        <f t="shared" si="2"/>
        <v>24</v>
      </c>
      <c r="D43" s="395" t="s">
        <v>350</v>
      </c>
      <c r="E43" s="395"/>
      <c r="F43" s="416" t="s">
        <v>144</v>
      </c>
      <c r="G43" s="417" t="s">
        <v>230</v>
      </c>
      <c r="H43" s="416" t="s">
        <v>35</v>
      </c>
      <c r="I43" s="134">
        <v>1</v>
      </c>
      <c r="J43" s="134">
        <v>0.41</v>
      </c>
      <c r="K43" s="350">
        <f t="shared" si="3"/>
        <v>0.41</v>
      </c>
      <c r="L43" s="291">
        <v>101507.71</v>
      </c>
      <c r="M43" s="352"/>
      <c r="N43" s="116"/>
      <c r="O43" s="116"/>
      <c r="P43" s="116"/>
      <c r="Q43" s="351">
        <f t="shared" si="4"/>
        <v>101507.71</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24</v>
      </c>
      <c r="D44" s="395" t="s">
        <v>351</v>
      </c>
      <c r="E44" s="395"/>
      <c r="F44" s="416" t="s">
        <v>144</v>
      </c>
      <c r="G44" s="417" t="s">
        <v>230</v>
      </c>
      <c r="H44" s="416" t="s">
        <v>35</v>
      </c>
      <c r="I44" s="134">
        <v>1</v>
      </c>
      <c r="J44" s="134">
        <v>0.41</v>
      </c>
      <c r="K44" s="350">
        <f t="shared" si="3"/>
        <v>0.41</v>
      </c>
      <c r="L44" s="291">
        <v>9027.73</v>
      </c>
      <c r="M44" s="352"/>
      <c r="N44" s="116"/>
      <c r="O44" s="116"/>
      <c r="P44" s="116"/>
      <c r="Q44" s="351">
        <f t="shared" si="4"/>
        <v>9027.73</v>
      </c>
      <c r="R44" s="409">
        <f t="shared" si="5"/>
        <v>1</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ht="30.75" x14ac:dyDescent="0.25">
      <c r="B45" s="363">
        <v>10</v>
      </c>
      <c r="C45" s="132">
        <f t="shared" si="2"/>
        <v>24</v>
      </c>
      <c r="D45" s="395" t="s">
        <v>352</v>
      </c>
      <c r="E45" s="395"/>
      <c r="F45" s="416" t="s">
        <v>144</v>
      </c>
      <c r="G45" s="417" t="s">
        <v>230</v>
      </c>
      <c r="H45" s="416" t="s">
        <v>35</v>
      </c>
      <c r="I45" s="134">
        <v>1</v>
      </c>
      <c r="J45" s="134">
        <v>0.41</v>
      </c>
      <c r="K45" s="350">
        <f t="shared" si="3"/>
        <v>0.41</v>
      </c>
      <c r="L45" s="291">
        <f>11360.86+31292.01</f>
        <v>42652.869999999995</v>
      </c>
      <c r="M45" s="352"/>
      <c r="N45" s="116"/>
      <c r="O45" s="116"/>
      <c r="P45" s="116"/>
      <c r="Q45" s="351">
        <f t="shared" si="4"/>
        <v>42652.869999999995</v>
      </c>
      <c r="R45" s="409">
        <f t="shared" si="5"/>
        <v>1</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ht="30.75" x14ac:dyDescent="0.25">
      <c r="B46" s="363">
        <v>11</v>
      </c>
      <c r="C46" s="132">
        <f t="shared" si="2"/>
        <v>24</v>
      </c>
      <c r="D46" s="395" t="s">
        <v>353</v>
      </c>
      <c r="E46" s="395"/>
      <c r="F46" s="416" t="s">
        <v>144</v>
      </c>
      <c r="G46" s="417" t="s">
        <v>230</v>
      </c>
      <c r="H46" s="416" t="s">
        <v>35</v>
      </c>
      <c r="I46" s="134">
        <v>1</v>
      </c>
      <c r="J46" s="134">
        <v>0.41</v>
      </c>
      <c r="K46" s="350">
        <f t="shared" si="3"/>
        <v>0.41</v>
      </c>
      <c r="L46" s="291">
        <v>62742.96</v>
      </c>
      <c r="M46" s="352"/>
      <c r="N46" s="116"/>
      <c r="O46" s="116"/>
      <c r="P46" s="116"/>
      <c r="Q46" s="351">
        <f t="shared" si="4"/>
        <v>62742.96</v>
      </c>
      <c r="R46" s="409">
        <f t="shared" si="5"/>
        <v>1</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sheetData>
  <sheetProtection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702" bottom="0.75" header="0.3" footer="0.3"/>
  <pageSetup scale="44" fitToWidth="0" fitToHeight="0" orientation="landscape" horizontalDpi="4294967294" verticalDpi="4294967294" r:id="rId1"/>
  <headerFooter>
    <oddFooter>&amp;C&amp;"Arial,Regular"&amp;16Page &amp;P of &amp;N</oddFooter>
  </headerFooter>
  <rowBreaks count="2" manualBreakCount="2">
    <brk id="30"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32"/>
  <sheetViews>
    <sheetView showGridLines="0" zoomScale="70" zoomScaleNormal="70" zoomScaleSheetLayoutView="40" workbookViewId="0">
      <selection activeCell="E29" sqref="E29"/>
    </sheetView>
  </sheetViews>
  <sheetFormatPr defaultColWidth="9.140625" defaultRowHeight="15"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65"/>
      <c r="C1" s="465"/>
      <c r="D1" s="465"/>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53" t="s">
        <v>1</v>
      </c>
      <c r="C7" s="453"/>
      <c r="D7" s="9" t="str">
        <f>IF(ISBLANK('1. Information'!D8),"",'1. Information'!D8)</f>
        <v>Merced</v>
      </c>
      <c r="F7" s="94" t="s">
        <v>2</v>
      </c>
      <c r="G7" s="109">
        <f>IF(ISBLANK('1. Information'!D7),"",'1. Information'!D7)</f>
        <v>43438</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43" t="s">
        <v>30</v>
      </c>
      <c r="H12" s="443"/>
      <c r="I12" s="443"/>
      <c r="J12" s="446"/>
      <c r="K12" s="308"/>
      <c r="L12"/>
      <c r="M12"/>
      <c r="N12"/>
      <c r="O12" s="108"/>
      <c r="P12" s="108"/>
    </row>
    <row r="13" spans="2:16" ht="65.25" customHeight="1" x14ac:dyDescent="0.25">
      <c r="B13" s="108"/>
      <c r="C13" s="467"/>
      <c r="D13" s="467"/>
      <c r="E13" s="467"/>
      <c r="F13" s="30" t="s">
        <v>304</v>
      </c>
      <c r="G13" s="44" t="s">
        <v>5</v>
      </c>
      <c r="H13" s="27" t="s">
        <v>6</v>
      </c>
      <c r="I13" s="27" t="s">
        <v>31</v>
      </c>
      <c r="J13" s="27" t="s">
        <v>15</v>
      </c>
      <c r="K13" s="306" t="s">
        <v>281</v>
      </c>
      <c r="L13"/>
      <c r="M13"/>
      <c r="N13"/>
      <c r="O13" s="108"/>
      <c r="P13" s="108"/>
    </row>
    <row r="14" spans="2:16" ht="15.75" x14ac:dyDescent="0.25">
      <c r="B14" s="101">
        <v>1</v>
      </c>
      <c r="C14" s="451" t="s">
        <v>160</v>
      </c>
      <c r="D14" s="451"/>
      <c r="E14" s="451"/>
      <c r="F14" s="290"/>
      <c r="G14" s="45"/>
      <c r="H14" s="29"/>
      <c r="I14" s="29"/>
      <c r="J14" s="309"/>
      <c r="K14" s="293">
        <f>SUM(F14:J14)</f>
        <v>0</v>
      </c>
      <c r="L14"/>
      <c r="M14"/>
      <c r="N14"/>
      <c r="O14" s="108"/>
      <c r="P14" s="108"/>
    </row>
    <row r="15" spans="2:16" ht="15.75" x14ac:dyDescent="0.25">
      <c r="B15" s="101">
        <v>2</v>
      </c>
      <c r="C15" s="451" t="s">
        <v>161</v>
      </c>
      <c r="D15" s="451"/>
      <c r="E15" s="451"/>
      <c r="F15" s="29">
        <v>5298</v>
      </c>
      <c r="G15" s="411"/>
      <c r="H15" s="412"/>
      <c r="I15" s="412"/>
      <c r="J15" s="413"/>
      <c r="K15" s="293">
        <f>SUM(F15:J15)</f>
        <v>5298</v>
      </c>
      <c r="L15"/>
      <c r="M15"/>
      <c r="N15"/>
      <c r="O15" s="108"/>
      <c r="P15" s="108"/>
    </row>
    <row r="16" spans="2:16" ht="15.75" x14ac:dyDescent="0.25">
      <c r="B16" s="405">
        <v>3</v>
      </c>
      <c r="C16" s="447" t="s">
        <v>319</v>
      </c>
      <c r="D16" s="448"/>
      <c r="E16" s="449"/>
      <c r="F16" s="367"/>
      <c r="G16" s="19"/>
      <c r="H16" s="19"/>
      <c r="I16" s="19"/>
      <c r="J16" s="19"/>
      <c r="K16" s="293">
        <f>SUM(F16:J16)</f>
        <v>0</v>
      </c>
      <c r="L16" s="404"/>
      <c r="M16" s="404"/>
      <c r="N16" s="404"/>
      <c r="O16" s="108"/>
      <c r="P16" s="108"/>
    </row>
    <row r="17" spans="2:17" ht="15.75" x14ac:dyDescent="0.25">
      <c r="B17" s="405">
        <v>4</v>
      </c>
      <c r="C17" s="447" t="s">
        <v>320</v>
      </c>
      <c r="D17" s="448"/>
      <c r="E17" s="449"/>
      <c r="F17" s="410"/>
      <c r="G17" s="19"/>
      <c r="H17" s="19"/>
      <c r="I17" s="19"/>
      <c r="J17" s="19"/>
      <c r="K17" s="293">
        <f>SUM(F17:J17)</f>
        <v>0</v>
      </c>
      <c r="L17" s="404"/>
      <c r="M17" s="404"/>
      <c r="N17" s="404"/>
      <c r="O17" s="108"/>
      <c r="P17" s="108"/>
    </row>
    <row r="18" spans="2:17" ht="15.75" x14ac:dyDescent="0.25">
      <c r="B18" s="101">
        <v>5</v>
      </c>
      <c r="C18" s="451" t="s">
        <v>162</v>
      </c>
      <c r="D18" s="451"/>
      <c r="E18" s="451"/>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51" t="s">
        <v>163</v>
      </c>
      <c r="D19" s="451"/>
      <c r="E19" s="451"/>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51" t="s">
        <v>236</v>
      </c>
      <c r="D20" s="451"/>
      <c r="E20" s="451"/>
      <c r="F20" s="19">
        <f>SUMIF($J$29:$J$132,"Project Direct",K$29:K$132)</f>
        <v>50340.639999999999</v>
      </c>
      <c r="G20" s="47">
        <f>SUMIF($J$29:$J$132,"Project Direct",L$29:L$132)</f>
        <v>0</v>
      </c>
      <c r="H20" s="19">
        <f>SUMIF($J$29:$J$132,"Project Direct",M$29:M$132)</f>
        <v>0</v>
      </c>
      <c r="I20" s="19">
        <f>SUMIF($J$29:$J$132,"Project Direct",N$29:N$132)</f>
        <v>0</v>
      </c>
      <c r="J20" s="19">
        <f>SUMIF($J$29:$J$132,"Project Direct",O$29:O$132)</f>
        <v>0</v>
      </c>
      <c r="K20" s="293">
        <f t="shared" si="0"/>
        <v>50340.639999999999</v>
      </c>
      <c r="L20"/>
      <c r="M20"/>
      <c r="N20"/>
      <c r="O20" s="108"/>
      <c r="P20" s="108"/>
    </row>
    <row r="21" spans="2:17" ht="15.75" x14ac:dyDescent="0.25">
      <c r="B21" s="101">
        <v>8</v>
      </c>
      <c r="C21" s="466" t="s">
        <v>164</v>
      </c>
      <c r="D21" s="466"/>
      <c r="E21" s="466"/>
      <c r="F21" s="18">
        <f>SUM(F18:F20)</f>
        <v>50340.639999999999</v>
      </c>
      <c r="G21" s="48">
        <f>SUM(G18:G20)</f>
        <v>0</v>
      </c>
      <c r="H21" s="18">
        <f>SUM(H18:H20)</f>
        <v>0</v>
      </c>
      <c r="I21" s="18">
        <f>SUM(I18:I20)</f>
        <v>0</v>
      </c>
      <c r="J21" s="18">
        <f t="shared" ref="J21" si="1">SUM(J18:J20)</f>
        <v>0</v>
      </c>
      <c r="K21" s="18">
        <f t="shared" ref="K21" si="2">SUM(K18:K20)</f>
        <v>50340.639999999999</v>
      </c>
      <c r="L21"/>
      <c r="M21"/>
      <c r="N21"/>
      <c r="O21" s="108"/>
      <c r="P21" s="108"/>
    </row>
    <row r="22" spans="2:17" ht="30.95" customHeight="1" x14ac:dyDescent="0.25">
      <c r="B22" s="101">
        <v>9</v>
      </c>
      <c r="C22" s="463" t="s">
        <v>321</v>
      </c>
      <c r="D22" s="463"/>
      <c r="E22" s="463"/>
      <c r="F22" s="20">
        <f t="shared" ref="F22:K22" si="3">SUM(F14:F15,F17,F18:F20)</f>
        <v>55638.64</v>
      </c>
      <c r="G22" s="20">
        <f t="shared" si="3"/>
        <v>0</v>
      </c>
      <c r="H22" s="20">
        <f t="shared" si="3"/>
        <v>0</v>
      </c>
      <c r="I22" s="20">
        <f t="shared" si="3"/>
        <v>0</v>
      </c>
      <c r="J22" s="20">
        <f t="shared" si="3"/>
        <v>0</v>
      </c>
      <c r="K22" s="20">
        <f t="shared" si="3"/>
        <v>55638.64</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64" t="s">
        <v>167</v>
      </c>
      <c r="E27" s="464"/>
      <c r="F27" s="464"/>
      <c r="G27" s="464"/>
      <c r="H27" s="464"/>
      <c r="I27" s="464"/>
      <c r="J27" s="464"/>
      <c r="K27" s="340" t="s">
        <v>28</v>
      </c>
      <c r="L27" s="464" t="s">
        <v>30</v>
      </c>
      <c r="M27" s="464"/>
      <c r="N27" s="464"/>
      <c r="O27" s="464"/>
      <c r="P27" s="329"/>
    </row>
    <row r="28" spans="2:17" ht="47.25" x14ac:dyDescent="0.2">
      <c r="B28" s="136" t="s">
        <v>134</v>
      </c>
      <c r="C28" s="21" t="s">
        <v>11</v>
      </c>
      <c r="D28" s="32" t="s">
        <v>12</v>
      </c>
      <c r="E28" s="27" t="s">
        <v>18</v>
      </c>
      <c r="F28" s="27" t="s">
        <v>154</v>
      </c>
      <c r="G28" s="27" t="s">
        <v>13</v>
      </c>
      <c r="H28" s="27" t="s">
        <v>151</v>
      </c>
      <c r="I28" s="27" t="s">
        <v>152</v>
      </c>
      <c r="J28" s="17" t="s">
        <v>153</v>
      </c>
      <c r="K28" s="30" t="s">
        <v>304</v>
      </c>
      <c r="L28" s="49" t="s">
        <v>5</v>
      </c>
      <c r="M28" s="31" t="s">
        <v>6</v>
      </c>
      <c r="N28" s="31" t="s">
        <v>14</v>
      </c>
      <c r="O28" s="300" t="s">
        <v>15</v>
      </c>
      <c r="P28" s="306" t="s">
        <v>281</v>
      </c>
    </row>
    <row r="29" spans="2:17" x14ac:dyDescent="0.2">
      <c r="B29" s="123">
        <v>1</v>
      </c>
      <c r="C29" s="137">
        <f>IF(P32&lt;&gt;0,VLOOKUP($D$7,Info_County_Code,2,FALSE),"")</f>
        <v>24</v>
      </c>
      <c r="D29" s="395" t="s">
        <v>354</v>
      </c>
      <c r="E29" s="422"/>
      <c r="F29" s="138"/>
      <c r="G29" s="138"/>
      <c r="H29" s="116"/>
      <c r="I29" s="116"/>
      <c r="J29" s="118" t="s">
        <v>158</v>
      </c>
      <c r="K29" s="120"/>
      <c r="L29" s="120"/>
      <c r="M29" s="116"/>
      <c r="N29" s="116"/>
      <c r="O29" s="129"/>
      <c r="P29" s="293">
        <f t="shared" ref="P29:P64" si="4">SUM(K29:O29)</f>
        <v>0</v>
      </c>
    </row>
    <row r="30" spans="2:17" x14ac:dyDescent="0.2">
      <c r="B30" s="123">
        <v>1</v>
      </c>
      <c r="C30" s="139">
        <f t="shared" ref="C30:I31" si="5">IF(ISBLANK(C29),"",C29)</f>
        <v>24</v>
      </c>
      <c r="D30" s="397" t="str">
        <f t="shared" si="5"/>
        <v>Innovative Strategist Network</v>
      </c>
      <c r="E30" s="140" t="str">
        <f t="shared" si="5"/>
        <v/>
      </c>
      <c r="F30" s="140" t="str">
        <f t="shared" si="5"/>
        <v/>
      </c>
      <c r="G30" s="140" t="str">
        <f t="shared" si="5"/>
        <v/>
      </c>
      <c r="H30" s="122" t="str">
        <f t="shared" si="5"/>
        <v/>
      </c>
      <c r="I30" s="122" t="str">
        <f t="shared" si="5"/>
        <v/>
      </c>
      <c r="J30" s="119" t="s">
        <v>159</v>
      </c>
      <c r="K30" s="120"/>
      <c r="L30" s="120"/>
      <c r="M30" s="116"/>
      <c r="N30" s="116"/>
      <c r="O30" s="129"/>
      <c r="P30" s="293">
        <f t="shared" si="4"/>
        <v>0</v>
      </c>
    </row>
    <row r="31" spans="2:17" x14ac:dyDescent="0.2">
      <c r="B31" s="123">
        <v>1</v>
      </c>
      <c r="C31" s="139">
        <f t="shared" ref="C31:H31" si="6">IF(ISBLANK(C29),"",C29)</f>
        <v>24</v>
      </c>
      <c r="D31" s="398" t="str">
        <f t="shared" si="6"/>
        <v>Innovative Strategist Network</v>
      </c>
      <c r="E31" s="141" t="str">
        <f t="shared" si="6"/>
        <v/>
      </c>
      <c r="F31" s="141" t="str">
        <f t="shared" si="6"/>
        <v/>
      </c>
      <c r="G31" s="141" t="str">
        <f t="shared" si="6"/>
        <v/>
      </c>
      <c r="H31" s="119" t="str">
        <f t="shared" si="6"/>
        <v/>
      </c>
      <c r="I31" s="119" t="str">
        <f t="shared" si="5"/>
        <v/>
      </c>
      <c r="J31" s="119" t="s">
        <v>237</v>
      </c>
      <c r="K31" s="120">
        <v>50340.639999999999</v>
      </c>
      <c r="L31" s="120"/>
      <c r="M31" s="116"/>
      <c r="N31" s="116"/>
      <c r="O31" s="129"/>
      <c r="P31" s="293">
        <f t="shared" si="4"/>
        <v>50340.639999999999</v>
      </c>
    </row>
    <row r="32" spans="2:17" ht="15.75" x14ac:dyDescent="0.25">
      <c r="B32" s="96">
        <v>1</v>
      </c>
      <c r="C32" s="22">
        <f t="shared" ref="C32:I32" si="7">IF(ISBLANK(C29),"",C29)</f>
        <v>24</v>
      </c>
      <c r="D32" s="399" t="str">
        <f t="shared" si="7"/>
        <v>Innovative Strategist Network</v>
      </c>
      <c r="E32" s="33" t="str">
        <f t="shared" si="7"/>
        <v/>
      </c>
      <c r="F32" s="33" t="str">
        <f t="shared" si="7"/>
        <v/>
      </c>
      <c r="G32" s="33" t="str">
        <f t="shared" si="7"/>
        <v/>
      </c>
      <c r="H32" s="34" t="str">
        <f t="shared" si="7"/>
        <v/>
      </c>
      <c r="I32" s="34" t="str">
        <f t="shared" si="7"/>
        <v/>
      </c>
      <c r="J32" s="8" t="s">
        <v>263</v>
      </c>
      <c r="K32" s="50">
        <f>SUM(K29:K31)</f>
        <v>50340.639999999999</v>
      </c>
      <c r="L32" s="50">
        <f>SUM(L29:L31)</f>
        <v>0</v>
      </c>
      <c r="M32" s="35">
        <f t="shared" ref="M32:O32" si="8">SUM(M29:M31)</f>
        <v>0</v>
      </c>
      <c r="N32" s="35">
        <f t="shared" si="8"/>
        <v>0</v>
      </c>
      <c r="O32" s="311">
        <f t="shared" si="8"/>
        <v>0</v>
      </c>
      <c r="P32" s="8">
        <f t="shared" si="4"/>
        <v>50340.639999999999</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sheetData>
  <sheetProtection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scale="46" fitToWidth="0" fitToHeight="0" orientation="landscape" horizontalDpi="4294967294" verticalDpi="4294967294"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3"/>
  <sheetViews>
    <sheetView showGridLines="0" zoomScale="70" zoomScaleNormal="70" zoomScaleSheetLayoutView="55" workbookViewId="0">
      <selection activeCell="G29" sqref="G29"/>
    </sheetView>
  </sheetViews>
  <sheetFormatPr defaultColWidth="9.140625" defaultRowHeight="15"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customWidth="1"/>
    <col min="16" max="16" width="21.28515625" style="99" customWidth="1"/>
    <col min="17" max="17" width="21.140625" style="99" customWidth="1"/>
    <col min="18" max="20" width="22.42578125" style="99" bestFit="1" customWidth="1"/>
    <col min="21" max="21" width="22.42578125" style="99" customWidth="1"/>
    <col min="22" max="22" width="19" style="99" customWidth="1"/>
    <col min="23" max="16384" width="9.140625" style="99"/>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Merced</v>
      </c>
      <c r="F7" s="94" t="s">
        <v>2</v>
      </c>
      <c r="G7" s="38">
        <f>IF(ISBLANK('1. Information'!D7),"",'1. Information'!D7)</f>
        <v>43438</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8" t="s">
        <v>213</v>
      </c>
      <c r="H12" s="469"/>
      <c r="I12" s="469"/>
      <c r="J12" s="470"/>
      <c r="K12" s="331"/>
      <c r="L12"/>
      <c r="M12"/>
      <c r="N12"/>
      <c r="O12" s="108"/>
      <c r="P12" s="108"/>
    </row>
    <row r="13" spans="1:22" ht="47.25" x14ac:dyDescent="0.25">
      <c r="A13" s="108"/>
      <c r="B13" s="108"/>
      <c r="C13" s="5"/>
      <c r="D13" s="5"/>
      <c r="E13" s="5"/>
      <c r="F13" s="30" t="s">
        <v>304</v>
      </c>
      <c r="G13" s="27" t="s">
        <v>5</v>
      </c>
      <c r="H13" s="27" t="s">
        <v>6</v>
      </c>
      <c r="I13" s="27" t="s">
        <v>31</v>
      </c>
      <c r="J13" s="27" t="s">
        <v>15</v>
      </c>
      <c r="K13" s="301" t="s">
        <v>281</v>
      </c>
      <c r="L13"/>
      <c r="M13"/>
      <c r="N13" s="108"/>
      <c r="O13" s="108"/>
    </row>
    <row r="14" spans="1:22" ht="15.75" x14ac:dyDescent="0.25">
      <c r="A14" s="108"/>
      <c r="B14" s="101">
        <v>1</v>
      </c>
      <c r="C14" s="451" t="s">
        <v>16</v>
      </c>
      <c r="D14" s="451"/>
      <c r="E14" s="447"/>
      <c r="F14" s="290"/>
      <c r="G14" s="142"/>
      <c r="H14" s="142"/>
      <c r="I14" s="142"/>
      <c r="J14" s="142"/>
      <c r="K14" s="292">
        <f>SUM(F14:J14)</f>
        <v>0</v>
      </c>
      <c r="L14"/>
      <c r="M14"/>
      <c r="N14" s="108"/>
      <c r="O14" s="108"/>
    </row>
    <row r="15" spans="1:22" ht="15.75" x14ac:dyDescent="0.25">
      <c r="A15" s="108"/>
      <c r="B15" s="101">
        <v>2</v>
      </c>
      <c r="C15" s="451" t="s">
        <v>17</v>
      </c>
      <c r="D15" s="451"/>
      <c r="E15" s="447"/>
      <c r="F15" s="290"/>
      <c r="G15" s="142"/>
      <c r="H15" s="142"/>
      <c r="I15" s="142"/>
      <c r="J15" s="142"/>
      <c r="K15" s="292">
        <f t="shared" ref="K15:K19" si="0">SUM(F15:J15)</f>
        <v>0</v>
      </c>
      <c r="L15"/>
      <c r="M15"/>
      <c r="N15" s="108"/>
      <c r="O15" s="108"/>
    </row>
    <row r="16" spans="1:22" ht="15.75" x14ac:dyDescent="0.25">
      <c r="A16" s="108"/>
      <c r="B16" s="101">
        <v>3</v>
      </c>
      <c r="C16" s="451" t="s">
        <v>238</v>
      </c>
      <c r="D16" s="451"/>
      <c r="E16" s="447"/>
      <c r="F16" s="290">
        <v>9198.5754242980711</v>
      </c>
      <c r="G16" s="355"/>
      <c r="H16" s="355"/>
      <c r="I16" s="355"/>
      <c r="J16" s="355"/>
      <c r="K16" s="292">
        <f t="shared" si="0"/>
        <v>9198.5754242980711</v>
      </c>
      <c r="L16"/>
      <c r="M16"/>
      <c r="N16" s="108"/>
      <c r="O16" s="108"/>
    </row>
    <row r="17" spans="1:22" ht="15.75" x14ac:dyDescent="0.25">
      <c r="A17" s="108"/>
      <c r="B17" s="101">
        <v>4</v>
      </c>
      <c r="C17" s="451" t="s">
        <v>221</v>
      </c>
      <c r="D17" s="451"/>
      <c r="E17" s="447"/>
      <c r="F17" s="367"/>
      <c r="G17" s="119"/>
      <c r="H17" s="119"/>
      <c r="I17" s="119"/>
      <c r="J17" s="119"/>
      <c r="K17" s="292">
        <f t="shared" si="0"/>
        <v>0</v>
      </c>
      <c r="L17"/>
      <c r="M17"/>
      <c r="N17" s="108"/>
      <c r="O17" s="108"/>
    </row>
    <row r="18" spans="1:22" ht="15.75" x14ac:dyDescent="0.25">
      <c r="A18" s="108"/>
      <c r="B18" s="101">
        <v>5</v>
      </c>
      <c r="C18" s="451" t="s">
        <v>222</v>
      </c>
      <c r="D18" s="451"/>
      <c r="E18" s="447"/>
      <c r="F18" s="367"/>
      <c r="G18" s="119"/>
      <c r="H18" s="119"/>
      <c r="I18" s="119"/>
      <c r="J18" s="119"/>
      <c r="K18" s="292">
        <f t="shared" si="0"/>
        <v>0</v>
      </c>
      <c r="L18"/>
      <c r="M18"/>
      <c r="N18" s="108"/>
      <c r="O18" s="108"/>
    </row>
    <row r="19" spans="1:22" ht="15.75" x14ac:dyDescent="0.25">
      <c r="A19" s="108"/>
      <c r="B19" s="101">
        <v>6</v>
      </c>
      <c r="C19" s="447" t="s">
        <v>174</v>
      </c>
      <c r="D19" s="448"/>
      <c r="E19" s="449"/>
      <c r="F19" s="122">
        <f>SUM(E28:E32)</f>
        <v>87407.46</v>
      </c>
      <c r="G19" s="121">
        <f t="shared" ref="G19:I19" si="1">SUM(F28:F32)</f>
        <v>0</v>
      </c>
      <c r="H19" s="122">
        <f t="shared" si="1"/>
        <v>0</v>
      </c>
      <c r="I19" s="122">
        <f t="shared" si="1"/>
        <v>0</v>
      </c>
      <c r="J19" s="122">
        <f>SUM(I28:I32)</f>
        <v>0</v>
      </c>
      <c r="K19" s="293">
        <f t="shared" si="0"/>
        <v>87407.46</v>
      </c>
      <c r="L19"/>
      <c r="M19"/>
      <c r="N19" s="108"/>
      <c r="O19" s="108"/>
    </row>
    <row r="20" spans="1:22" ht="30.95" customHeight="1" x14ac:dyDescent="0.25">
      <c r="A20" s="108"/>
      <c r="B20" s="101">
        <v>7</v>
      </c>
      <c r="C20" s="463" t="s">
        <v>220</v>
      </c>
      <c r="D20" s="463"/>
      <c r="E20" s="463"/>
      <c r="F20" s="8">
        <f>SUM(F14:F16,F18:F19)</f>
        <v>96606.035424298083</v>
      </c>
      <c r="G20" s="43">
        <f t="shared" ref="G20:J20" si="2">SUM(G14:G16,G18:G19)</f>
        <v>0</v>
      </c>
      <c r="H20" s="7">
        <f t="shared" si="2"/>
        <v>0</v>
      </c>
      <c r="I20" s="7">
        <f t="shared" si="2"/>
        <v>0</v>
      </c>
      <c r="J20" s="7">
        <f t="shared" si="2"/>
        <v>0</v>
      </c>
      <c r="K20" s="8">
        <f>SUM(K14:K16,K18:K19)</f>
        <v>96606.035424298083</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71" t="s">
        <v>30</v>
      </c>
      <c r="G26" s="471"/>
      <c r="H26" s="471"/>
      <c r="I26" s="471"/>
      <c r="J26" s="331"/>
      <c r="K26"/>
      <c r="L26"/>
      <c r="M26"/>
      <c r="N26"/>
      <c r="O26"/>
      <c r="P26"/>
      <c r="Q26"/>
      <c r="R26"/>
    </row>
    <row r="27" spans="1:22" ht="47.25" x14ac:dyDescent="0.25">
      <c r="A27" s="108"/>
      <c r="B27" s="76" t="s">
        <v>134</v>
      </c>
      <c r="C27" s="56" t="s">
        <v>11</v>
      </c>
      <c r="D27" s="56" t="s">
        <v>21</v>
      </c>
      <c r="E27" s="30" t="s">
        <v>304</v>
      </c>
      <c r="F27" s="65" t="s">
        <v>5</v>
      </c>
      <c r="G27" s="64" t="s">
        <v>6</v>
      </c>
      <c r="H27" s="64" t="s">
        <v>31</v>
      </c>
      <c r="I27" s="64" t="s">
        <v>15</v>
      </c>
      <c r="J27" s="306" t="s">
        <v>281</v>
      </c>
      <c r="K27"/>
      <c r="L27"/>
      <c r="M27"/>
      <c r="N27"/>
      <c r="O27"/>
      <c r="P27"/>
      <c r="Q27"/>
      <c r="R27"/>
    </row>
    <row r="28" spans="1:22" ht="15.75" x14ac:dyDescent="0.25">
      <c r="A28" s="143"/>
      <c r="B28" s="144">
        <v>1</v>
      </c>
      <c r="C28" s="132">
        <f>IF(J28&lt;&gt;0,VLOOKUP($D$7,Info_County_Code,2,FALSE),"")</f>
        <v>24</v>
      </c>
      <c r="D28" s="145" t="s">
        <v>105</v>
      </c>
      <c r="E28" s="117">
        <v>87407.46</v>
      </c>
      <c r="F28" s="120"/>
      <c r="G28" s="117"/>
      <c r="H28" s="117"/>
      <c r="I28" s="312"/>
      <c r="J28" s="119">
        <f>SUM(E28:I28)</f>
        <v>87407.46</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 t="shared" ref="J29:J32" si="3">SUM(E29:I29)</f>
        <v>0</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sheetData>
  <sheetProtection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scale="61" fitToWidth="0" fitToHeight="0" orientation="landscape" horizontalDpi="4294967294" verticalDpi="4294967294"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B1:W47"/>
  <sheetViews>
    <sheetView showGridLines="0" zoomScale="70" zoomScaleNormal="70" zoomScaleSheetLayoutView="40" workbookViewId="0">
      <selection activeCell="G28" sqref="G28:G29"/>
    </sheetView>
  </sheetViews>
  <sheetFormatPr defaultColWidth="9.140625" defaultRowHeight="15.75"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customWidth="1"/>
    <col min="16" max="17" width="19" customWidth="1"/>
    <col min="18" max="19" width="18.42578125" customWidth="1"/>
    <col min="20" max="21" width="18.28515625" customWidth="1"/>
    <col min="22" max="22" width="18.140625" customWidth="1"/>
    <col min="23" max="23" width="18.42578125" customWidth="1"/>
    <col min="24" max="24" width="16.5703125" style="108" customWidth="1"/>
    <col min="25" max="26" width="22.140625" style="108" customWidth="1"/>
    <col min="27" max="16384" width="9.140625" style="108"/>
  </cols>
  <sheetData>
    <row r="1" spans="2:23" x14ac:dyDescent="0.25">
      <c r="B1" s="465"/>
      <c r="C1" s="465"/>
      <c r="D1" s="465"/>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Merced</v>
      </c>
      <c r="E7" s="16"/>
      <c r="F7" s="95" t="s">
        <v>2</v>
      </c>
      <c r="G7" s="109">
        <f>IF(ISBLANK('1. Information'!D7),"",'1. Information'!D7)</f>
        <v>43438</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53" t="s">
        <v>213</v>
      </c>
      <c r="H12" s="453"/>
      <c r="I12" s="453"/>
      <c r="J12" s="453"/>
      <c r="K12" s="331"/>
      <c r="L12"/>
      <c r="M12"/>
      <c r="U12" s="108"/>
      <c r="V12" s="108"/>
      <c r="W12" s="108"/>
    </row>
    <row r="13" spans="2:23" ht="47.25" x14ac:dyDescent="0.25">
      <c r="D13" s="3"/>
      <c r="E13" s="16"/>
      <c r="F13" s="30" t="s">
        <v>304</v>
      </c>
      <c r="G13" s="27" t="s">
        <v>5</v>
      </c>
      <c r="H13" s="27" t="s">
        <v>6</v>
      </c>
      <c r="I13" s="27" t="s">
        <v>31</v>
      </c>
      <c r="J13" s="27" t="s">
        <v>15</v>
      </c>
      <c r="K13" s="306" t="s">
        <v>281</v>
      </c>
      <c r="L13"/>
      <c r="M13"/>
      <c r="U13" s="108"/>
      <c r="V13" s="108"/>
      <c r="W13" s="108"/>
    </row>
    <row r="14" spans="2:23" x14ac:dyDescent="0.25">
      <c r="B14" s="101">
        <v>1</v>
      </c>
      <c r="C14" s="451" t="s">
        <v>189</v>
      </c>
      <c r="D14" s="451"/>
      <c r="E14" s="447"/>
      <c r="F14" s="142"/>
      <c r="G14" s="142"/>
      <c r="H14" s="142"/>
      <c r="I14" s="142"/>
      <c r="J14" s="142"/>
      <c r="K14" s="118">
        <f>SUM(F14:J14)</f>
        <v>0</v>
      </c>
      <c r="L14"/>
      <c r="M14"/>
      <c r="U14" s="108"/>
      <c r="V14" s="108"/>
      <c r="W14" s="108"/>
    </row>
    <row r="15" spans="2:23" x14ac:dyDescent="0.25">
      <c r="B15" s="101">
        <v>2</v>
      </c>
      <c r="C15" s="451" t="s">
        <v>188</v>
      </c>
      <c r="D15" s="451"/>
      <c r="E15" s="447"/>
      <c r="F15" s="142"/>
      <c r="G15" s="142"/>
      <c r="H15" s="142"/>
      <c r="I15" s="142"/>
      <c r="J15" s="142"/>
      <c r="K15" s="118">
        <f t="shared" ref="K15:K20" si="0">SUM(F15:J15)</f>
        <v>0</v>
      </c>
      <c r="L15"/>
      <c r="M15"/>
      <c r="U15" s="108"/>
      <c r="V15" s="108"/>
      <c r="W15" s="108"/>
    </row>
    <row r="16" spans="2:23" x14ac:dyDescent="0.25">
      <c r="B16" s="101">
        <v>3</v>
      </c>
      <c r="C16" s="451" t="s">
        <v>123</v>
      </c>
      <c r="D16" s="451"/>
      <c r="E16" s="447"/>
      <c r="F16" s="142"/>
      <c r="G16" s="142"/>
      <c r="H16" s="142"/>
      <c r="I16" s="142"/>
      <c r="J16" s="142"/>
      <c r="K16" s="118">
        <f t="shared" si="0"/>
        <v>0</v>
      </c>
      <c r="L16"/>
      <c r="M16"/>
      <c r="U16" s="108"/>
      <c r="V16" s="108"/>
      <c r="W16" s="108"/>
    </row>
    <row r="17" spans="2:23" x14ac:dyDescent="0.25">
      <c r="B17" s="101">
        <v>4</v>
      </c>
      <c r="C17" s="451" t="s">
        <v>122</v>
      </c>
      <c r="D17" s="451"/>
      <c r="E17" s="447"/>
      <c r="F17" s="142"/>
      <c r="G17" s="142"/>
      <c r="H17" s="142"/>
      <c r="I17" s="142"/>
      <c r="J17" s="142"/>
      <c r="K17" s="118">
        <f t="shared" si="0"/>
        <v>0</v>
      </c>
      <c r="L17"/>
      <c r="M17"/>
      <c r="U17" s="108"/>
      <c r="V17" s="108"/>
      <c r="W17" s="108"/>
    </row>
    <row r="18" spans="2:23" x14ac:dyDescent="0.25">
      <c r="B18" s="101">
        <v>5</v>
      </c>
      <c r="C18" s="451" t="s">
        <v>239</v>
      </c>
      <c r="D18" s="451"/>
      <c r="E18" s="447"/>
      <c r="F18" s="142">
        <v>36234.080493622248</v>
      </c>
      <c r="G18" s="142"/>
      <c r="H18" s="142"/>
      <c r="I18" s="142"/>
      <c r="J18" s="142"/>
      <c r="K18" s="118">
        <f t="shared" si="0"/>
        <v>36234.080493622248</v>
      </c>
      <c r="L18"/>
      <c r="M18"/>
      <c r="U18" s="108"/>
      <c r="V18" s="108"/>
      <c r="W18" s="108"/>
    </row>
    <row r="19" spans="2:23" x14ac:dyDescent="0.25">
      <c r="B19" s="101">
        <v>6</v>
      </c>
      <c r="C19" s="451" t="s">
        <v>240</v>
      </c>
      <c r="D19" s="451"/>
      <c r="E19" s="447"/>
      <c r="F19" s="142"/>
      <c r="G19" s="142"/>
      <c r="H19" s="142"/>
      <c r="I19" s="142"/>
      <c r="J19" s="355"/>
      <c r="K19" s="118">
        <f t="shared" si="0"/>
        <v>0</v>
      </c>
      <c r="L19"/>
      <c r="M19"/>
      <c r="U19" s="108"/>
      <c r="V19" s="108"/>
      <c r="W19" s="108"/>
    </row>
    <row r="20" spans="2:23" x14ac:dyDescent="0.25">
      <c r="B20" s="101">
        <v>7</v>
      </c>
      <c r="C20" s="451" t="s">
        <v>175</v>
      </c>
      <c r="D20" s="451"/>
      <c r="E20" s="451"/>
      <c r="F20" s="121">
        <f>SUM(G28:G47)</f>
        <v>2264202.46</v>
      </c>
      <c r="G20" s="121">
        <f>SUM(H28:H47)</f>
        <v>0</v>
      </c>
      <c r="H20" s="122">
        <f t="shared" ref="H20" si="1">SUM(I28:I47)</f>
        <v>0</v>
      </c>
      <c r="I20" s="122">
        <f>SUM(J28:J47)</f>
        <v>0</v>
      </c>
      <c r="J20" s="119">
        <f>SUM(K28:K47)</f>
        <v>0</v>
      </c>
      <c r="K20" s="118">
        <f t="shared" si="0"/>
        <v>2264202.46</v>
      </c>
      <c r="L20"/>
      <c r="M20"/>
      <c r="U20" s="108"/>
      <c r="V20" s="108"/>
      <c r="W20" s="108"/>
    </row>
    <row r="21" spans="2:23" ht="30.95" customHeight="1" x14ac:dyDescent="0.25">
      <c r="B21" s="101">
        <v>8</v>
      </c>
      <c r="C21" s="472" t="s">
        <v>20</v>
      </c>
      <c r="D21" s="472"/>
      <c r="E21" s="472"/>
      <c r="F21" s="43">
        <f>SUM(F14:F20)</f>
        <v>2300436.5404936224</v>
      </c>
      <c r="G21" s="43">
        <f>SUM(G14:G20)</f>
        <v>0</v>
      </c>
      <c r="H21" s="7">
        <f t="shared" ref="H21:J21" si="2">SUM(H14:H20)</f>
        <v>0</v>
      </c>
      <c r="I21" s="7">
        <f t="shared" si="2"/>
        <v>0</v>
      </c>
      <c r="J21" s="299">
        <f t="shared" si="2"/>
        <v>0</v>
      </c>
      <c r="K21" s="7">
        <f t="shared" ref="K21" si="3">SUM(K14:K20)</f>
        <v>2300436.5404936224</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71" t="s">
        <v>224</v>
      </c>
      <c r="E26" s="471"/>
      <c r="F26" s="471"/>
      <c r="G26" s="344" t="s">
        <v>214</v>
      </c>
      <c r="H26" s="471" t="s">
        <v>213</v>
      </c>
      <c r="I26" s="471"/>
      <c r="J26" s="471"/>
      <c r="K26" s="471"/>
      <c r="L26" s="331"/>
      <c r="M26"/>
      <c r="U26" s="108"/>
      <c r="V26" s="108"/>
      <c r="W26" s="108"/>
    </row>
    <row r="27" spans="2:23" ht="69" customHeight="1" x14ac:dyDescent="0.25">
      <c r="B27" s="56" t="s">
        <v>134</v>
      </c>
      <c r="C27" s="56" t="s">
        <v>11</v>
      </c>
      <c r="D27" s="31" t="s">
        <v>12</v>
      </c>
      <c r="E27" s="31" t="s">
        <v>18</v>
      </c>
      <c r="F27" s="31" t="s">
        <v>19</v>
      </c>
      <c r="G27" s="30" t="s">
        <v>291</v>
      </c>
      <c r="H27" s="65" t="s">
        <v>5</v>
      </c>
      <c r="I27" s="64" t="s">
        <v>6</v>
      </c>
      <c r="J27" s="64" t="s">
        <v>31</v>
      </c>
      <c r="K27" s="64" t="s">
        <v>15</v>
      </c>
      <c r="L27" s="306" t="s">
        <v>281</v>
      </c>
      <c r="M27"/>
      <c r="U27" s="108"/>
      <c r="V27" s="108"/>
      <c r="W27" s="108"/>
    </row>
    <row r="28" spans="2:23" x14ac:dyDescent="0.25">
      <c r="B28" s="101">
        <v>1</v>
      </c>
      <c r="C28" s="132">
        <f t="shared" ref="C28:C47" si="4">IF(L28&lt;&gt;0,VLOOKUP($D$7,Info_County_Code,2,FALSE),"")</f>
        <v>24</v>
      </c>
      <c r="D28" s="364" t="s">
        <v>340</v>
      </c>
      <c r="E28" s="151"/>
      <c r="F28" s="125" t="s">
        <v>176</v>
      </c>
      <c r="G28" s="117">
        <v>1919896</v>
      </c>
      <c r="H28" s="126"/>
      <c r="I28" s="126"/>
      <c r="J28" s="117"/>
      <c r="K28" s="312"/>
      <c r="L28" s="316">
        <f>SUM(G28:K28)</f>
        <v>1919896</v>
      </c>
      <c r="M28"/>
      <c r="U28" s="108"/>
      <c r="V28" s="108"/>
      <c r="W28" s="108"/>
    </row>
    <row r="29" spans="2:23" x14ac:dyDescent="0.25">
      <c r="B29" s="101">
        <v>2</v>
      </c>
      <c r="C29" s="132">
        <f t="shared" si="4"/>
        <v>24</v>
      </c>
      <c r="D29" s="395" t="s">
        <v>340</v>
      </c>
      <c r="E29" s="396"/>
      <c r="F29" s="416" t="s">
        <v>176</v>
      </c>
      <c r="G29" s="117">
        <v>344306.46</v>
      </c>
      <c r="H29" s="126"/>
      <c r="I29" s="120"/>
      <c r="J29" s="116"/>
      <c r="K29" s="313"/>
      <c r="L29" s="316">
        <f t="shared" ref="L29:L47" si="5">SUM(G29:K29)</f>
        <v>344306.46</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sheetData>
  <sheetProtection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99" bottom="0.75" header="0.3" footer="0.3"/>
  <pageSetup scale="64" fitToWidth="0" fitToHeight="0" orientation="landscape" horizontalDpi="4294967294" verticalDpi="4294967294"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2018-12-20T22:21:04Z</cp:lastPrinted>
  <dcterms:created xsi:type="dcterms:W3CDTF">2017-07-05T19:48:18Z</dcterms:created>
  <dcterms:modified xsi:type="dcterms:W3CDTF">2019-05-21T21:06:10Z</dcterms:modified>
</cp:coreProperties>
</file>