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22" l="1"/>
  <c r="K33" i="22"/>
  <c r="K35" i="3" l="1"/>
  <c r="K31" i="3" s="1"/>
  <c r="L36" i="2"/>
  <c r="L38" i="2" s="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9" i="2" l="1"/>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P96" i="3"/>
  <c r="C93" i="3" s="1"/>
  <c r="C96" i="3" s="1"/>
  <c r="P36" i="3"/>
  <c r="C94" i="3" l="1"/>
  <c r="C118" i="3"/>
  <c r="C91" i="3"/>
  <c r="C90" i="3"/>
  <c r="C123" i="3"/>
  <c r="C122" i="3"/>
  <c r="C95" i="3"/>
  <c r="C115" i="3"/>
  <c r="C98" i="3"/>
  <c r="C114" i="3"/>
  <c r="C111" i="3"/>
  <c r="C107" i="3"/>
  <c r="C102" i="3"/>
  <c r="C119" i="3"/>
  <c r="C128" i="3"/>
  <c r="C103" i="3"/>
  <c r="C129" i="3"/>
  <c r="C131" i="3" s="1"/>
  <c r="C110" i="3"/>
  <c r="C127" i="3"/>
  <c r="C99" i="3"/>
  <c r="C106" i="3"/>
  <c r="B3" i="20"/>
  <c r="B4" i="20"/>
  <c r="C130" i="3" l="1"/>
  <c r="C132"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5" i="22" s="1"/>
  <c r="C34" i="22" l="1"/>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C30" i="5" s="1"/>
  <c r="D7" i="3"/>
  <c r="C33" i="3" s="1"/>
  <c r="D7" i="2"/>
  <c r="C71" i="17"/>
  <c r="B71" i="17"/>
  <c r="E71" i="17" s="1"/>
  <c r="E70" i="17"/>
  <c r="C69" i="17"/>
  <c r="B69" i="17"/>
  <c r="E69" i="17" s="1"/>
  <c r="C36" i="2" l="1"/>
  <c r="C37" i="2"/>
  <c r="C38"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66" i="3"/>
  <c r="C44" i="3" l="1"/>
  <c r="C38" i="3"/>
  <c r="C52" i="3"/>
  <c r="C63" i="3"/>
  <c r="C67" i="3"/>
  <c r="C64" i="3"/>
  <c r="C75" i="3"/>
  <c r="C46" i="3"/>
  <c r="C76" i="3"/>
  <c r="C47" i="3"/>
  <c r="C50" i="3"/>
  <c r="C55" i="3"/>
  <c r="C70" i="3"/>
  <c r="C39" i="3"/>
  <c r="C56" i="3"/>
  <c r="C79" i="3"/>
  <c r="C78" i="3"/>
  <c r="C87" i="3"/>
  <c r="C83" i="3"/>
  <c r="C82" i="3"/>
  <c r="C86" i="3"/>
  <c r="C60"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F22" i="3" l="1"/>
  <c r="F30" i="19" s="1"/>
  <c r="G22" i="3"/>
  <c r="F31" i="19" s="1"/>
  <c r="J22" i="3"/>
  <c r="F34" i="19" s="1"/>
  <c r="N34" i="19" s="1"/>
  <c r="H22" i="3"/>
  <c r="F32" i="19" s="1"/>
  <c r="N32" i="19" s="1"/>
  <c r="I22" i="3"/>
  <c r="F33" i="19" s="1"/>
  <c r="N33" i="19" s="1"/>
  <c r="K18" i="3"/>
  <c r="K19" i="3"/>
  <c r="D40" i="19" s="1"/>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<sst xmlns="http://schemas.openxmlformats.org/spreadsheetml/2006/main" count="748" uniqueCount="336">
  <si>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</si>
  <si>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</si>
  <si>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</si>
  <si>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</si>
  <si>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</si>
  <si>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</si>
  <si>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</si>
  <si>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</si>
  <si>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</si>
  <si>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</si>
  <si>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</si>
  <si>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</si>
  <si>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</si>
  <si>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</si>
  <si>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</si>
  <si>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</si>
  <si>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</si>
  <si>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</si>
  <si>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</si>
  <si>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</si>
  <si>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</si>
  <si>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</si>
  <si>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</si>
  <si>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</si>
  <si>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</si>
  <si>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</si>
  <si>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</si>
  <si>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</si>
  <si>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</si>
  <si>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</si>
  <si>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</si>
  <si>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</si>
  <si>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</si>
  <si>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</si>
  <si>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</si>
  <si>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</si>
  <si>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</si>
  <si>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</si>
  <si>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</si>
  <si>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</si>
  <si>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</si>
  <si>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</si>
  <si>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</si>
  <si>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</si>
  <si>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</si>
  <si>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</si>
  <si>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</si>
  <si>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</si>
  <si>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</si>
  <si>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</si>
  <si>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</si>
  <si>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</si>
  <si>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</si>
  <si>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</si>
  <si>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</si>
  <si>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</si>
  <si>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</si>
  <si>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</si>
  <si>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</si>
  <si>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</si>
  <si>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</si>
  <si>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</si>
  <si>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</si>
  <si>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</si>
  <si>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</si>
  <si>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</si>
  <si>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</si>
  <si>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</si>
  <si>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</si>
  <si>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</si>
  <si>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</si>
  <si>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</si>
  <si>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</si>
  <si>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</si>
  <si>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</si>
  <si>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</si>
  <si>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</si>
  <si>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</si>
  <si>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</si>
  <si>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</si>
  <si>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</si>
  <si>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</si>
  <si>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</si>
  <si>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</si>
  <si>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</si>
  <si>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</si>
  <si>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</si>
  <si>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</si>
  <si>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</si>
  <si>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</si>
  <si>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</si>
  <si>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</si>
  <si>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</si>
  <si>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</si>
  <si>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</si>
  <si>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</si>
  <si>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</si>
  <si>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</si>
  <si>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</si>
  <si>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</si>
  <si>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</si>
  <si>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</si>
  <si>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</si>
  <si>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</si>
  <si>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</si>
  <si>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</si>
  <si>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</si>
  <si>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</si>
  <si>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</si>
  <si>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</si>
  <si>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</si>
  <si>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</si>
  <si>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</si>
  <si>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</si>
  <si>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</si>
  <si>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</si>
  <si>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</si>
  <si>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</si>
  <si>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</si>
  <si>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</si>
  <si>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</si>
  <si>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</si>
  <si>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</si>
  <si>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</si>
  <si>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</si>
  <si>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</si>
  <si>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</si>
  <si>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</si>
  <si>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</si>
  <si>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</si>
  <si>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</si>
  <si>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</si>
  <si>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</si>
  <si>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</si>
  <si>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</si>
  <si>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</si>
  <si>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</si>
  <si>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</si>
  <si>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</si>
  <si>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</si>
  <si>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</si>
  <si>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</si>
  <si>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</si>
  <si>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</si>
  <si>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</si>
  <si>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</si>
  <si>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</si>
  <si>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</si>
  <si>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</si>
  <si>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</si>
  <si>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</si>
  <si>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</si>
  <si>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</si>
  <si>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</si>
  <si>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</si>
  <si>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</si>
  <si>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</si>
  <si>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</si>
  <si>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</si>
  <si>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</si>
  <si>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</si>
  <si>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</si>
  <si>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</si>
  <si>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</si>
  <si>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</si>
  <si>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</si>
  <si>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</si>
  <si>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</si>
  <si>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</si>
  <si>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</si>
  <si>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</si>
  <si>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</si>
  <si>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</si>
  <si>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</si>
  <si>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</si>
  <si>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</si>
  <si>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</si>
  <si>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</si>
  <si>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</si>
  <si>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</si>
  <si>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</si>
  <si>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</si>
  <si>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</si>
  <si>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</si>
  <si>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</si>
  <si>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</si>
  <si>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</si>
  <si>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</si>
  <si>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</si>
  <si>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</si>
  <si>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</si>
  <si>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</si>
  <si>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</si>
  <si>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</si>
  <si>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</si>
  <si>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</si>
  <si>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</si>
  <si>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</si>
  <si>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</si>
  <si>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</si>
  <si>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</si>
  <si>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</si>
  <si>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</si>
  <si>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</si>
  <si>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</si>
  <si>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</si>
  <si>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</si>
  <si>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</si>
  <si>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</si>
  <si>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</si>
  <si>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</si>
  <si>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</si>
  <si>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</si>
  <si>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</si>
  <si>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</si>
  <si>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</si>
  <si>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</si>
  <si>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</si>
  <si>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</si>
  <si>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</si>
  <si>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</si>
  <si>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</si>
  <si>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</si>
  <si>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</si>
  <si>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</si>
  <si>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</si>
  <si>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</si>
  <si>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</si>
  <si>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</si>
  <si>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</si>
  <si>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</si>
  <si>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</si>
  <si>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</si>
  <si>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</si>
  <si>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</si>
  <si>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</si>
  <si>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</si>
  <si>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</si>
  <si>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</si>
  <si>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</si>
  <si>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</si>
  <si>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</si>
  <si>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</si>
  <si>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</si>
  <si>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</si>
  <si>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</si>
  <si>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</si>
  <si>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</si>
  <si>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</si>
  <si>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</si>
  <si>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</si>
  <si>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</si>
  <si>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</si>
  <si>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</si>
  <si>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</si>
  <si>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</si>
  <si>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</si>
  <si>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</si>
  <si>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</si>
  <si>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</si>
  <si>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</si>
  <si>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</si>
  <si>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</si>
  <si>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</si>
  <si>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</si>
  <si>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</si>
  <si>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</si>
  <si>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</si>
  <si>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</si>
  <si>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</si>
  <si>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</si>
  <si>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</si>
  <si>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</si>
  <si>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</si>
  <si>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</si>
  <si>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</si>
  <si>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</si>
  <si>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</si>
  <si>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</si>
  <si>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</si>
  <si>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</si>
  <si>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</si>
  <si>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</si>
  <si>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</si>
  <si>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</si>
  <si>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</si>
  <si>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</si>
  <si>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</si>
  <si>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</si>
  <si>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</si>
  <si>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</si>
  <si>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</si>
  <si>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</si>
  <si>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</si>
  <si>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</si>
  <si>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</si>
  <si>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</si>
  <si>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</si>
  <si>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</si>
  <si>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</si>
  <si>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</si>
  <si>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</si>
  <si>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</si>
  <si>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</si>
  <si>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</si>
  <si>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</si>
  <si>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</si>
  <si>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</si>
  <si>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</si>
  <si>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</si>
  <si>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</si>
  <si>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</si>
  <si>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</si>
  <si>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</si>
  <si>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</si>
  <si>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</si>
  <si>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</si>
  <si>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</si>
  <si>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</si>
  <si>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</si>
  <si>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</si>
  <si>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</si>
  <si>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441 N. Main Street</t>
  </si>
  <si>
    <t>Alturas</t>
  </si>
  <si>
    <t>Gary Ernst</t>
  </si>
  <si>
    <t>Fiscal Consultant</t>
  </si>
  <si>
    <t>gcernst@sbcglobal.net</t>
  </si>
  <si>
    <t>559-679-2541</t>
  </si>
  <si>
    <t>Integrated PEI</t>
  </si>
  <si>
    <t>CIBHS eBHS</t>
  </si>
  <si>
    <t>Increase Access to Mental Health</t>
  </si>
  <si>
    <t>Behavioral Health Building Purchase</t>
  </si>
  <si>
    <t>System Transfermation (FSP)</t>
  </si>
  <si>
    <t>General System Development</t>
  </si>
  <si>
    <t>Outreach &amp; Engagement</t>
  </si>
  <si>
    <t>same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</si>
</sst>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1" t="s">
        <v>1</v>
      </c>
      <c r="C7" s="431"/>
      <c r="D7" s="9" t="str">
        <f>IF(ISBLANK('1. Information'!D8),"",'1. Information'!D8)</f>
        <v>Modoc</v>
      </c>
      <c r="F7" s="94" t="s">
        <v>2</v>
      </c>
      <c r="G7" s="109">
        <f>IF(ISBLANK('1. Information'!D7),"",'1. Information'!D7)</f>
        <v>43474</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1" t="s">
        <v>1</v>
      </c>
      <c r="C7" s="431"/>
      <c r="D7" s="9" t="str">
        <f>IF(ISBLANK('1. Information'!D8),"",'1. Information'!D8)</f>
        <v>Modoc</v>
      </c>
      <c r="E7" s="3"/>
      <c r="F7" s="97" t="s">
        <v>178</v>
      </c>
      <c r="G7" s="109">
        <f>IF(ISBLANK('1. Information'!D7),"",'1. Information'!D7)</f>
        <v>43474</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1" t="s">
        <v>1</v>
      </c>
      <c r="C7" s="431"/>
      <c r="D7" s="9" t="str">
        <f>IF(ISBLANK('1. Information'!D8),"",'1. Information'!D8)</f>
        <v>Modoc</v>
      </c>
      <c r="F7" s="94" t="s">
        <v>2</v>
      </c>
      <c r="G7" s="38">
        <f>IF(ISBLANK('1. Information'!D7),"",'1. Information'!D7)</f>
        <v>43474</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43474</v>
      </c>
    </row>
    <row r="8" spans="1:5" ht="34.5" customHeight="1" x14ac:dyDescent="0.2">
      <c r="A8" s="99"/>
      <c r="B8" s="130">
        <v>2</v>
      </c>
      <c r="C8" s="102" t="s">
        <v>1</v>
      </c>
      <c r="D8" s="365" t="s">
        <v>67</v>
      </c>
    </row>
    <row r="9" spans="1:5" ht="34.5" customHeight="1" x14ac:dyDescent="0.2">
      <c r="A9" s="99"/>
      <c r="B9" s="130">
        <v>3</v>
      </c>
      <c r="C9" s="103" t="s">
        <v>125</v>
      </c>
      <c r="D9" s="104">
        <f>IF(ISBLANK(D8),"",VLOOKUP(D8,Info_County_Code,2))</f>
        <v>25</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96101</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G38" sqref="G38"/>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Modoc</v>
      </c>
      <c r="F7" s="360" t="s">
        <v>2</v>
      </c>
      <c r="G7" s="259">
        <f>IF(ISBLANK('1. Information'!D7),"",'1. Information'!D7)</f>
        <v>43474</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35781</v>
      </c>
      <c r="E15" s="260"/>
      <c r="F15" s="260"/>
      <c r="G15" s="90"/>
      <c r="H15" s="260"/>
      <c r="I15" s="260"/>
      <c r="J15" s="260"/>
      <c r="K15" s="260"/>
      <c r="L15" s="260"/>
      <c r="M15" s="260"/>
      <c r="N15" s="260"/>
    </row>
    <row r="16" spans="2:14" x14ac:dyDescent="0.25">
      <c r="B16" s="24">
        <v>2</v>
      </c>
      <c r="C16" s="332" t="s">
        <v>306</v>
      </c>
      <c r="D16" s="394">
        <v>574245</v>
      </c>
      <c r="E16" s="260"/>
      <c r="F16" s="260"/>
      <c r="G16" s="90"/>
      <c r="H16" s="260"/>
      <c r="I16" s="260"/>
      <c r="J16" s="260"/>
      <c r="K16" s="260"/>
      <c r="L16" s="260"/>
      <c r="M16" s="260"/>
      <c r="N16" s="260"/>
    </row>
    <row r="17" spans="2:14" x14ac:dyDescent="0.25">
      <c r="B17" s="24">
        <v>3</v>
      </c>
      <c r="C17" s="332" t="s">
        <v>312</v>
      </c>
      <c r="D17" s="91">
        <f>D16+M22+M27+SUM('9. Adjustment (MHSA)'!F83:F112)</f>
        <v>815114</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27193.56</v>
      </c>
      <c r="E23" s="380">
        <f>D15*0.19</f>
        <v>6798.39</v>
      </c>
      <c r="F23" s="261">
        <f>D15*0.05</f>
        <v>1789.0500000000002</v>
      </c>
      <c r="G23" s="327"/>
      <c r="H23" s="327"/>
      <c r="I23" s="327"/>
      <c r="J23" s="334"/>
      <c r="K23" s="327"/>
      <c r="L23" s="327"/>
      <c r="M23" s="327"/>
      <c r="N23" s="333">
        <f>SUM(D23:M23)</f>
        <v>35781.000000000007</v>
      </c>
    </row>
    <row r="24" spans="2:14" ht="24" customHeight="1" x14ac:dyDescent="0.25">
      <c r="B24" s="24">
        <v>6</v>
      </c>
      <c r="C24" s="266" t="s">
        <v>25</v>
      </c>
      <c r="D24" s="339">
        <f t="shared" ref="D24:L24" si="0">SUM(D22:D23)</f>
        <v>27193.56</v>
      </c>
      <c r="E24" s="339">
        <f t="shared" si="0"/>
        <v>6798.39</v>
      </c>
      <c r="F24" s="339">
        <f t="shared" si="0"/>
        <v>1789.0500000000002</v>
      </c>
      <c r="G24" s="339">
        <f t="shared" si="0"/>
        <v>0</v>
      </c>
      <c r="H24" s="339">
        <f t="shared" si="0"/>
        <v>0</v>
      </c>
      <c r="I24" s="339">
        <f t="shared" si="0"/>
        <v>0</v>
      </c>
      <c r="J24" s="339">
        <f t="shared" si="0"/>
        <v>0</v>
      </c>
      <c r="K24" s="339">
        <f t="shared" si="0"/>
        <v>0</v>
      </c>
      <c r="L24" s="339">
        <f t="shared" si="0"/>
        <v>0</v>
      </c>
      <c r="M24" s="339">
        <v>0</v>
      </c>
      <c r="N24" s="371">
        <f>SUM(D24:M24)</f>
        <v>35781.000000000007</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-240869</v>
      </c>
      <c r="E27" s="334"/>
      <c r="F27" s="334"/>
      <c r="G27" s="264">
        <f>'3. CSS'!F20</f>
        <v>0</v>
      </c>
      <c r="H27" s="264">
        <f>'3. CSS'!F21</f>
        <v>0</v>
      </c>
      <c r="I27" s="334"/>
      <c r="J27" s="334"/>
      <c r="K27" s="334"/>
      <c r="L27" s="334"/>
      <c r="M27" s="264">
        <f>'3. CSS'!F22</f>
        <v>240869</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877972</v>
      </c>
      <c r="E30" s="264">
        <f>'4. PEI'!F21</f>
        <v>364961</v>
      </c>
      <c r="F30" s="264">
        <f>'5. INN'!F22</f>
        <v>108899</v>
      </c>
      <c r="G30" s="264">
        <f>'6. WET'!F20</f>
        <v>52141</v>
      </c>
      <c r="H30" s="264">
        <f>'7. CFTN'!F21</f>
        <v>511863</v>
      </c>
      <c r="I30" s="334"/>
      <c r="J30" s="264">
        <f>'8. WET RP, HP'!E14</f>
        <v>0</v>
      </c>
      <c r="K30" s="264">
        <f>'4. PEI'!F17</f>
        <v>0</v>
      </c>
      <c r="L30" s="264">
        <f>'8. WET RP, HP'!E15</f>
        <v>0</v>
      </c>
      <c r="M30" s="334"/>
      <c r="N30" s="264">
        <f t="shared" ref="N30:N35" si="1">SUM(D30:M30)</f>
        <v>1915836</v>
      </c>
    </row>
    <row r="31" spans="2:14" ht="24" customHeight="1" x14ac:dyDescent="0.25">
      <c r="B31" s="24">
        <v>9</v>
      </c>
      <c r="C31" s="262" t="s">
        <v>5</v>
      </c>
      <c r="D31" s="261">
        <f>'3. CSS'!G25</f>
        <v>960914</v>
      </c>
      <c r="E31" s="261">
        <f>'4. PEI'!G21</f>
        <v>0</v>
      </c>
      <c r="F31" s="261">
        <f>'5. INN'!G22</f>
        <v>0</v>
      </c>
      <c r="G31" s="261">
        <f>'6. WET'!G20</f>
        <v>0</v>
      </c>
      <c r="H31" s="261">
        <f>'7. CFTN'!G21</f>
        <v>0</v>
      </c>
      <c r="I31" s="7"/>
      <c r="J31" s="261">
        <f>'8. WET RP, HP'!F14</f>
        <v>0</v>
      </c>
      <c r="K31" s="261">
        <f>'4. PEI'!G17</f>
        <v>0</v>
      </c>
      <c r="L31" s="261">
        <f>'8. WET RP, HP'!F15</f>
        <v>0</v>
      </c>
      <c r="M31" s="327"/>
      <c r="N31" s="264">
        <f t="shared" si="1"/>
        <v>960914</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268434</v>
      </c>
      <c r="E33" s="261">
        <f>'4. PEI'!I21</f>
        <v>0</v>
      </c>
      <c r="F33" s="261">
        <f>'5. INN'!I22</f>
        <v>0</v>
      </c>
      <c r="G33" s="261">
        <f>'6. WET'!I20</f>
        <v>0</v>
      </c>
      <c r="H33" s="261">
        <f>'7. CFTN'!I21</f>
        <v>0</v>
      </c>
      <c r="I33" s="7"/>
      <c r="J33" s="261">
        <f>'8. WET RP, HP'!H14</f>
        <v>0</v>
      </c>
      <c r="K33" s="261">
        <f>'4. PEI'!I17</f>
        <v>0</v>
      </c>
      <c r="L33" s="261">
        <f>'8. WET RP, HP'!H15</f>
        <v>0</v>
      </c>
      <c r="M33" s="327"/>
      <c r="N33" s="264">
        <f t="shared" si="1"/>
        <v>268434</v>
      </c>
    </row>
    <row r="34" spans="2:14" ht="24" customHeight="1" x14ac:dyDescent="0.25">
      <c r="B34" s="24">
        <v>12</v>
      </c>
      <c r="C34" s="262" t="s">
        <v>15</v>
      </c>
      <c r="D34" s="261">
        <f>'3. CSS'!J25</f>
        <v>198560</v>
      </c>
      <c r="E34" s="261">
        <f>'4. PEI'!J21</f>
        <v>0</v>
      </c>
      <c r="F34" s="261">
        <f>'5. INN'!J22</f>
        <v>0</v>
      </c>
      <c r="G34" s="261">
        <f>'6. WET'!J20</f>
        <v>0</v>
      </c>
      <c r="H34" s="261">
        <f>'7. CFTN'!J21</f>
        <v>0</v>
      </c>
      <c r="I34" s="7"/>
      <c r="J34" s="261">
        <f>'8. WET RP, HP'!I14</f>
        <v>0</v>
      </c>
      <c r="K34" s="261">
        <f>'4. PEI'!J17</f>
        <v>0</v>
      </c>
      <c r="L34" s="261">
        <f>'8. WET RP, HP'!I15</f>
        <v>0</v>
      </c>
      <c r="M34" s="327"/>
      <c r="N34" s="264">
        <f t="shared" si="1"/>
        <v>198560</v>
      </c>
    </row>
    <row r="35" spans="2:14" ht="24" customHeight="1" x14ac:dyDescent="0.25">
      <c r="B35" s="24">
        <v>13</v>
      </c>
      <c r="C35" s="266" t="s">
        <v>25</v>
      </c>
      <c r="D35" s="267">
        <f>SUM(D30:D34)</f>
        <v>2305880</v>
      </c>
      <c r="E35" s="267">
        <f t="shared" ref="E35:L35" si="2">SUM(E30:E34)</f>
        <v>364961</v>
      </c>
      <c r="F35" s="267">
        <f t="shared" si="2"/>
        <v>108899</v>
      </c>
      <c r="G35" s="267">
        <f t="shared" si="2"/>
        <v>52141</v>
      </c>
      <c r="H35" s="267">
        <f t="shared" si="2"/>
        <v>511863</v>
      </c>
      <c r="I35" s="267">
        <f t="shared" si="2"/>
        <v>0</v>
      </c>
      <c r="J35" s="267">
        <f t="shared" si="2"/>
        <v>0</v>
      </c>
      <c r="K35" s="267">
        <f t="shared" si="2"/>
        <v>0</v>
      </c>
      <c r="L35" s="267">
        <f t="shared" si="2"/>
        <v>0</v>
      </c>
      <c r="M35" s="7"/>
      <c r="N35" s="339">
        <f t="shared" si="1"/>
        <v>3343744</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6006</v>
      </c>
      <c r="E40" s="263"/>
      <c r="F40" s="260"/>
      <c r="G40" s="260"/>
      <c r="H40" s="260"/>
      <c r="I40" s="260"/>
      <c r="J40" s="260"/>
      <c r="K40" s="260"/>
      <c r="L40" s="260"/>
      <c r="M40" s="260"/>
      <c r="N40" s="347"/>
    </row>
    <row r="41" spans="2:14" x14ac:dyDescent="0.25">
      <c r="B41" s="24">
        <v>16</v>
      </c>
      <c r="C41" s="358" t="s">
        <v>24</v>
      </c>
      <c r="D41" s="366">
        <f>'3. CSS'!K16+'4. PEI'!K16+'5. INN'!K15+'5. INN'!K18+'6. WET'!K16+'7. CFTN'!K18+'7. CFTN'!K19</f>
        <v>245498</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12" zoomScale="70" zoomScaleNormal="70" zoomScaleSheetLayoutView="40" zoomScalePageLayoutView="70" workbookViewId="0">
      <selection activeCell="E32" sqref="E32"/>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0"/>
      <c r="C1" s="430"/>
      <c r="D1" s="430"/>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1" t="s">
        <v>1</v>
      </c>
      <c r="C7" s="431"/>
      <c r="D7" s="9" t="str">
        <f>IF(ISBLANK('1. Information'!D8),"",'1. Information'!D8)</f>
        <v>Modoc</v>
      </c>
      <c r="E7" s="281"/>
      <c r="F7" s="279" t="s">
        <v>2</v>
      </c>
      <c r="G7" s="282">
        <f>IF(ISBLANK('1. Information'!D7),"",'1. Information'!D7)</f>
        <v>43474</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2" t="s">
        <v>7</v>
      </c>
      <c r="D14" s="432"/>
      <c r="E14" s="432"/>
      <c r="F14" s="367"/>
      <c r="G14" s="368"/>
      <c r="H14" s="353"/>
      <c r="I14" s="290"/>
      <c r="J14" s="290"/>
      <c r="K14" s="292">
        <f>SUM(F14:J14)</f>
        <v>0</v>
      </c>
      <c r="L14"/>
    </row>
    <row r="15" spans="1:12" ht="15" customHeight="1" x14ac:dyDescent="0.25">
      <c r="A15" s="281"/>
      <c r="B15" s="277">
        <v>2</v>
      </c>
      <c r="C15" s="432" t="s">
        <v>8</v>
      </c>
      <c r="D15" s="432"/>
      <c r="E15" s="432"/>
      <c r="F15" s="367"/>
      <c r="G15" s="290"/>
      <c r="H15" s="290"/>
      <c r="I15" s="290"/>
      <c r="J15" s="290"/>
      <c r="K15" s="292">
        <f t="shared" ref="K15:K23" si="0">SUM(F15:J15)</f>
        <v>0</v>
      </c>
      <c r="L15"/>
    </row>
    <row r="16" spans="1:12" x14ac:dyDescent="0.25">
      <c r="A16" s="281"/>
      <c r="B16" s="277">
        <v>3</v>
      </c>
      <c r="C16" s="432" t="s">
        <v>129</v>
      </c>
      <c r="D16" s="432"/>
      <c r="E16" s="432"/>
      <c r="F16" s="367">
        <v>18349</v>
      </c>
      <c r="G16" s="290">
        <v>55509</v>
      </c>
      <c r="H16" s="290">
        <v>0</v>
      </c>
      <c r="I16" s="290">
        <v>94411</v>
      </c>
      <c r="J16" s="290">
        <v>0</v>
      </c>
      <c r="K16" s="292">
        <f t="shared" si="0"/>
        <v>168269</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32" t="s">
        <v>216</v>
      </c>
      <c r="D19" s="432"/>
      <c r="E19" s="432"/>
      <c r="F19" s="290"/>
      <c r="G19" s="294"/>
      <c r="H19" s="294"/>
      <c r="I19" s="294"/>
      <c r="J19" s="294"/>
      <c r="K19" s="293">
        <f t="shared" si="0"/>
        <v>0</v>
      </c>
      <c r="L19"/>
    </row>
    <row r="20" spans="1:12" x14ac:dyDescent="0.25">
      <c r="A20" s="283"/>
      <c r="B20" s="256">
        <v>7</v>
      </c>
      <c r="C20" s="443" t="s">
        <v>226</v>
      </c>
      <c r="D20" s="444"/>
      <c r="E20" s="445"/>
      <c r="F20" s="290"/>
      <c r="G20" s="293"/>
      <c r="H20" s="293"/>
      <c r="I20" s="293"/>
      <c r="J20" s="293"/>
      <c r="K20" s="293">
        <f t="shared" si="0"/>
        <v>0</v>
      </c>
      <c r="L20"/>
    </row>
    <row r="21" spans="1:12" x14ac:dyDescent="0.25">
      <c r="A21" s="283"/>
      <c r="B21" s="256">
        <v>8</v>
      </c>
      <c r="C21" s="443" t="s">
        <v>227</v>
      </c>
      <c r="D21" s="444"/>
      <c r="E21" s="445"/>
      <c r="F21" s="290"/>
      <c r="G21" s="293"/>
      <c r="H21" s="293"/>
      <c r="I21" s="293"/>
      <c r="J21" s="293"/>
      <c r="K21" s="293">
        <f t="shared" si="0"/>
        <v>0</v>
      </c>
      <c r="L21"/>
    </row>
    <row r="22" spans="1:12" x14ac:dyDescent="0.25">
      <c r="A22" s="283"/>
      <c r="B22" s="256">
        <v>9</v>
      </c>
      <c r="C22" s="443" t="s">
        <v>225</v>
      </c>
      <c r="D22" s="444"/>
      <c r="E22" s="445"/>
      <c r="F22" s="290">
        <v>240869</v>
      </c>
      <c r="G22" s="293"/>
      <c r="H22" s="293"/>
      <c r="I22" s="293"/>
      <c r="J22" s="293"/>
      <c r="K22" s="293">
        <f t="shared" si="0"/>
        <v>240869</v>
      </c>
      <c r="L22"/>
    </row>
    <row r="23" spans="1:12" x14ac:dyDescent="0.25">
      <c r="A23" s="281"/>
      <c r="B23" s="277">
        <v>10</v>
      </c>
      <c r="C23" s="432" t="s">
        <v>140</v>
      </c>
      <c r="D23" s="432"/>
      <c r="E23" s="432"/>
      <c r="F23" s="294">
        <f>SUM(G33:G132)</f>
        <v>859623</v>
      </c>
      <c r="G23" s="293">
        <f>SUM(H33:H132)</f>
        <v>905405</v>
      </c>
      <c r="H23" s="293">
        <f>SUM(I33:I132)</f>
        <v>0</v>
      </c>
      <c r="I23" s="293">
        <f>SUM(J33:J132)</f>
        <v>174023</v>
      </c>
      <c r="J23" s="293">
        <f>SUM(K33:K132)</f>
        <v>198560</v>
      </c>
      <c r="K23" s="293">
        <f t="shared" si="0"/>
        <v>2137611</v>
      </c>
      <c r="L23"/>
    </row>
    <row r="24" spans="1:12" ht="30.95" customHeight="1" x14ac:dyDescent="0.25">
      <c r="A24" s="281"/>
      <c r="B24" s="277">
        <v>11</v>
      </c>
      <c r="C24" s="433" t="s">
        <v>223</v>
      </c>
      <c r="D24" s="434"/>
      <c r="E24" s="435"/>
      <c r="F24" s="7">
        <f>SUM(F14:F16,F18:F23)</f>
        <v>1118841</v>
      </c>
      <c r="G24" s="7">
        <f>SUM(G14:G16,G18:G23)</f>
        <v>960914</v>
      </c>
      <c r="H24" s="43">
        <f t="shared" ref="H24:J24" si="1">SUM(H14:H16,H18:H23)</f>
        <v>0</v>
      </c>
      <c r="I24" s="7">
        <f t="shared" si="1"/>
        <v>268434</v>
      </c>
      <c r="J24" s="7">
        <f t="shared" si="1"/>
        <v>198560</v>
      </c>
      <c r="K24" s="7">
        <f>SUM(K14:K16,K18:K23)</f>
        <v>2546749</v>
      </c>
      <c r="L24"/>
    </row>
    <row r="25" spans="1:12" s="325" customFormat="1" ht="30.95" customHeight="1" x14ac:dyDescent="0.25">
      <c r="A25" s="281"/>
      <c r="B25" s="277">
        <v>12</v>
      </c>
      <c r="C25" s="440" t="s">
        <v>283</v>
      </c>
      <c r="D25" s="440"/>
      <c r="E25" s="440"/>
      <c r="F25" s="7">
        <f>SUM(F14:F16,F18,F23)</f>
        <v>877972</v>
      </c>
      <c r="G25" s="299">
        <f t="shared" ref="G25:J25" si="2">SUM(G14:G16,G18,G23)</f>
        <v>960914</v>
      </c>
      <c r="H25" s="299">
        <f t="shared" si="2"/>
        <v>0</v>
      </c>
      <c r="I25" s="299">
        <f t="shared" si="2"/>
        <v>268434</v>
      </c>
      <c r="J25" s="7">
        <f t="shared" si="2"/>
        <v>198560</v>
      </c>
      <c r="K25" s="7">
        <f>SUM(K14:K16,K18,K23)</f>
        <v>2305880</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25</v>
      </c>
      <c r="D33" s="416" t="s">
        <v>332</v>
      </c>
      <c r="E33" s="395" t="s">
        <v>335</v>
      </c>
      <c r="F33" s="297" t="s">
        <v>102</v>
      </c>
      <c r="G33" s="291">
        <v>120804</v>
      </c>
      <c r="H33" s="291">
        <v>185896</v>
      </c>
      <c r="I33" s="291">
        <v>0</v>
      </c>
      <c r="J33" s="318">
        <v>35730</v>
      </c>
      <c r="K33" s="291">
        <f>40768+1</f>
        <v>40769</v>
      </c>
      <c r="L33" s="293">
        <f>SUM(G33:K33)</f>
        <v>383199</v>
      </c>
    </row>
    <row r="34" spans="1:12" s="359" customFormat="1" x14ac:dyDescent="0.25">
      <c r="A34" s="281"/>
      <c r="B34" s="295">
        <v>2</v>
      </c>
      <c r="C34" s="296">
        <f t="shared" si="3"/>
        <v>25</v>
      </c>
      <c r="D34" s="416" t="s">
        <v>333</v>
      </c>
      <c r="E34" s="395" t="s">
        <v>335</v>
      </c>
      <c r="F34" s="297" t="s">
        <v>103</v>
      </c>
      <c r="G34" s="291">
        <v>467572</v>
      </c>
      <c r="H34" s="291">
        <v>719509</v>
      </c>
      <c r="I34" s="291">
        <v>0</v>
      </c>
      <c r="J34" s="318">
        <v>138293</v>
      </c>
      <c r="K34" s="291">
        <f>157793-2</f>
        <v>157791</v>
      </c>
      <c r="L34" s="293">
        <f t="shared" ref="L34:L97" si="4">SUM(G34:K34)</f>
        <v>1483165</v>
      </c>
    </row>
    <row r="35" spans="1:12" s="359" customFormat="1" x14ac:dyDescent="0.25">
      <c r="A35" s="281"/>
      <c r="B35" s="295">
        <v>3</v>
      </c>
      <c r="C35" s="296">
        <f t="shared" si="3"/>
        <v>25</v>
      </c>
      <c r="D35" s="395" t="s">
        <v>334</v>
      </c>
      <c r="E35" s="395" t="s">
        <v>335</v>
      </c>
      <c r="F35" s="297" t="s">
        <v>103</v>
      </c>
      <c r="G35" s="291">
        <v>271247</v>
      </c>
      <c r="H35" s="291">
        <v>0</v>
      </c>
      <c r="I35" s="291">
        <v>0</v>
      </c>
      <c r="J35" s="318">
        <v>0</v>
      </c>
      <c r="K35" s="291">
        <v>0</v>
      </c>
      <c r="L35" s="293">
        <f t="shared" si="4"/>
        <v>271247</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31" orientation="portrait"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F29" zoomScale="55" zoomScaleNormal="55" zoomScaleSheetLayoutView="40" zoomScalePageLayoutView="80" workbookViewId="0">
      <selection activeCell="L41" sqref="L41"/>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Modoc</v>
      </c>
      <c r="F7" s="94" t="s">
        <v>2</v>
      </c>
      <c r="G7" s="109">
        <f>IF(ISBLANK('1. Information'!D7),"",'1. Information'!D7)</f>
        <v>43474</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3"/>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3"/>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28124</v>
      </c>
      <c r="G16" s="387">
        <v>0</v>
      </c>
      <c r="H16" s="387">
        <v>0</v>
      </c>
      <c r="I16" s="387">
        <v>0</v>
      </c>
      <c r="J16" s="387">
        <v>0</v>
      </c>
      <c r="K16" s="292">
        <f t="shared" si="0"/>
        <v>28124</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3"/>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3"/>
      <c r="F18" s="389">
        <v>20440</v>
      </c>
      <c r="G18" s="403"/>
      <c r="H18" s="403"/>
      <c r="I18" s="403"/>
      <c r="J18" s="403"/>
      <c r="K18" s="292">
        <f t="shared" si="0"/>
        <v>20440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3"/>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2" t="s">
        <v>150</v>
      </c>
      <c r="D20" s="432"/>
      <c r="E20" s="432"/>
      <c r="F20" s="315">
        <f>SUMIF($G$36:$G$135,"Combined Summary",L$36:L$135) + SUMIF($F$36:$F$135,"Standalone",L$36:L$135)</f>
        <v>336837</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336837</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364961</v>
      </c>
      <c r="G21" s="8">
        <f t="shared" ref="G21:K21" si="1">SUM(G14:G16,G19:G20)</f>
        <v>0</v>
      </c>
      <c r="H21" s="8">
        <f t="shared" si="1"/>
        <v>0</v>
      </c>
      <c r="I21" s="8">
        <f t="shared" si="1"/>
        <v>0</v>
      </c>
      <c r="J21" s="8">
        <f t="shared" si="1"/>
        <v>0</v>
      </c>
      <c r="K21" s="8">
        <f t="shared" si="1"/>
        <v>364961</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2.0766143505744448</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25</v>
      </c>
      <c r="D36" s="337" t="s">
        <v>328</v>
      </c>
      <c r="E36" s="416"/>
      <c r="F36" s="416" t="s">
        <v>143</v>
      </c>
      <c r="G36" s="417" t="s">
        <v>136</v>
      </c>
      <c r="H36" s="416"/>
      <c r="I36" s="421">
        <v>1</v>
      </c>
      <c r="J36" s="421">
        <v>1</v>
      </c>
      <c r="K36" s="350">
        <f>IF(OR(G36="Combined Summary",F36="Standalone"),(SUMPRODUCT(--(D$36:D$135=D36),I$36:I$135,J$36:J$135)),"")</f>
        <v>2.25</v>
      </c>
      <c r="L36" s="291">
        <f>147070+30000</f>
        <v>177070</v>
      </c>
      <c r="M36" s="352"/>
      <c r="N36" s="116"/>
      <c r="O36" s="116"/>
      <c r="P36" s="116"/>
      <c r="Q36" s="351">
        <f>SUM(L36:P36)</f>
        <v>177070</v>
      </c>
      <c r="R36" s="409">
        <f>IF(OR(G36="Combined Summary",F36="Standalone"),(SUMIF(D$36:D$135,D36,I$36:I$135)),"")</f>
        <v>3</v>
      </c>
      <c r="S36" s="407" t="str">
        <f>IF(AND(F36="Standalone",NOT(R36=1)),"ERROR",IF(AND(G36="Combined Summary",NOT(R36=1)),"ERROR",""))</f>
        <v>ERROR</v>
      </c>
      <c r="AL36" s="108"/>
      <c r="AM36" s="108"/>
      <c r="AN36" s="108"/>
    </row>
    <row r="37" spans="2:40" x14ac:dyDescent="0.25">
      <c r="B37" s="363">
        <v>2</v>
      </c>
      <c r="C37" s="132">
        <f t="shared" si="2"/>
        <v>25</v>
      </c>
      <c r="D37" s="337" t="s">
        <v>328</v>
      </c>
      <c r="E37" s="416"/>
      <c r="F37" s="416" t="s">
        <v>143</v>
      </c>
      <c r="G37" s="417" t="s">
        <v>137</v>
      </c>
      <c r="H37" s="416"/>
      <c r="I37" s="421">
        <v>1</v>
      </c>
      <c r="J37" s="421">
        <v>1</v>
      </c>
      <c r="K37" s="350">
        <f t="shared" ref="K37:K100" si="3">IF(OR(G37="Combined Summary",F37="Standalone"),(SUMPRODUCT(--(D$36:D$135=D37),I$36:I$135,J$36:J$135)),"")</f>
        <v>2.25</v>
      </c>
      <c r="L37" s="291">
        <v>63113</v>
      </c>
      <c r="M37" s="352"/>
      <c r="N37" s="116"/>
      <c r="O37" s="116"/>
      <c r="P37" s="116"/>
      <c r="Q37" s="351">
        <f t="shared" ref="Q37:Q100" si="4">SUM(L37:P37)</f>
        <v>63113</v>
      </c>
      <c r="R37" s="409">
        <f t="shared" ref="R37:R100" si="5">IF(OR(G37="Combined Summary",F37="Standalone"),(SUMIF(D$36:D$135,D37,I$36:I$135)),"")</f>
        <v>3</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25</v>
      </c>
      <c r="D38" s="337" t="s">
        <v>328</v>
      </c>
      <c r="E38" s="416"/>
      <c r="F38" s="416" t="s">
        <v>143</v>
      </c>
      <c r="G38" s="417" t="s">
        <v>145</v>
      </c>
      <c r="H38" s="416"/>
      <c r="I38" s="421">
        <v>1</v>
      </c>
      <c r="J38" s="421">
        <v>0.25</v>
      </c>
      <c r="K38" s="350">
        <f t="shared" si="3"/>
        <v>2.25</v>
      </c>
      <c r="L38" s="291">
        <f>385401-L36-L37-F18-F16</f>
        <v>96654</v>
      </c>
      <c r="M38" s="352"/>
      <c r="N38" s="116"/>
      <c r="O38" s="116"/>
      <c r="P38" s="116"/>
      <c r="Q38" s="351">
        <f t="shared" si="4"/>
        <v>96654</v>
      </c>
      <c r="R38" s="409">
        <f t="shared" si="5"/>
        <v>3</v>
      </c>
      <c r="S38" s="407" t="str">
        <f t="shared" si="6"/>
        <v>ERROR</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t="str">
        <f t="shared" si="2"/>
        <v/>
      </c>
      <c r="D39" s="337"/>
      <c r="E39" s="416"/>
      <c r="F39" s="416"/>
      <c r="G39" s="417"/>
      <c r="H39" s="416"/>
      <c r="I39" s="421"/>
      <c r="J39" s="421"/>
      <c r="K39" s="350" t="str">
        <f t="shared" si="3"/>
        <v/>
      </c>
      <c r="L39" s="291"/>
      <c r="M39" s="352"/>
      <c r="N39" s="116"/>
      <c r="O39" s="116"/>
      <c r="P39" s="116"/>
      <c r="Q39" s="351">
        <f t="shared" si="4"/>
        <v>0</v>
      </c>
      <c r="R39" s="409" t="str">
        <f t="shared" si="5"/>
        <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23"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topLeftCell="A7" zoomScale="70" zoomScaleNormal="70" zoomScaleSheetLayoutView="40" workbookViewId="0">
      <selection activeCell="I42" sqref="I4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1" t="s">
        <v>1</v>
      </c>
      <c r="C7" s="431"/>
      <c r="D7" s="9" t="str">
        <f>IF(ISBLANK('1. Information'!D8),"",'1. Information'!D8)</f>
        <v>Modoc</v>
      </c>
      <c r="F7" s="94" t="s">
        <v>2</v>
      </c>
      <c r="G7" s="109">
        <f>IF(ISBLANK('1. Information'!D7),"",'1. Information'!D7)</f>
        <v>43474</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c r="G14" s="45"/>
      <c r="H14" s="29"/>
      <c r="I14" s="29"/>
      <c r="J14" s="309"/>
      <c r="K14" s="293">
        <f>SUM(F14:J14)</f>
        <v>0</v>
      </c>
      <c r="L14"/>
      <c r="M14"/>
      <c r="N14"/>
      <c r="O14" s="108"/>
      <c r="P14" s="108"/>
    </row>
    <row r="15" spans="2:16" ht="15.75" x14ac:dyDescent="0.25">
      <c r="B15" s="101">
        <v>2</v>
      </c>
      <c r="C15" s="446" t="s">
        <v>161</v>
      </c>
      <c r="D15" s="446"/>
      <c r="E15" s="446"/>
      <c r="F15" s="29">
        <v>7947</v>
      </c>
      <c r="G15" s="411"/>
      <c r="H15" s="412"/>
      <c r="I15" s="412"/>
      <c r="J15" s="413"/>
      <c r="K15" s="293">
        <f>SUM(F15:J15)</f>
        <v>7947</v>
      </c>
      <c r="L15"/>
      <c r="M15"/>
      <c r="N15"/>
      <c r="O15" s="108"/>
      <c r="P15" s="108"/>
    </row>
    <row r="16" spans="2:16" ht="15.75" x14ac:dyDescent="0.25">
      <c r="B16" s="405">
        <v>3</v>
      </c>
      <c r="C16" s="443" t="s">
        <v>314</v>
      </c>
      <c r="D16" s="444"/>
      <c r="E16" s="445"/>
      <c r="F16" s="367"/>
      <c r="G16" s="19"/>
      <c r="H16" s="19"/>
      <c r="I16" s="19"/>
      <c r="J16" s="19"/>
      <c r="K16" s="293">
        <f>SUM(F16:J16)</f>
        <v>0</v>
      </c>
      <c r="L16" s="404"/>
      <c r="M16" s="404"/>
      <c r="N16" s="404"/>
      <c r="O16" s="108"/>
      <c r="P16" s="108"/>
    </row>
    <row r="17" spans="2:17" ht="15.75" x14ac:dyDescent="0.25">
      <c r="B17" s="405">
        <v>4</v>
      </c>
      <c r="C17" s="443" t="s">
        <v>315</v>
      </c>
      <c r="D17" s="444"/>
      <c r="E17" s="445"/>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6" t="s">
        <v>163</v>
      </c>
      <c r="D19" s="446"/>
      <c r="E19" s="446"/>
      <c r="F19" s="19">
        <f>SUMIF($J$29:$J$132,"Project Evaluation",K$29:K$132)</f>
        <v>6006</v>
      </c>
      <c r="G19" s="47">
        <f>SUMIF($J$29:$J$132,"Project Evaluation",L$29:L$132)</f>
        <v>0</v>
      </c>
      <c r="H19" s="19">
        <f>SUMIF($J$29:$J$132,"Project Evaluation",M$29:M$132)</f>
        <v>0</v>
      </c>
      <c r="I19" s="19">
        <f>SUMIF($J$29:$J$132,"Project Evaluation",N$29:N$132)</f>
        <v>0</v>
      </c>
      <c r="J19" s="19">
        <f>SUMIF($J$29:$J$132,"Project Evaluation",O$29:O$132)</f>
        <v>0</v>
      </c>
      <c r="K19" s="293">
        <f t="shared" si="0"/>
        <v>6006</v>
      </c>
      <c r="L19"/>
      <c r="M19"/>
      <c r="N19"/>
      <c r="O19" s="108"/>
      <c r="P19" s="108"/>
    </row>
    <row r="20" spans="2:17" ht="15.75" x14ac:dyDescent="0.25">
      <c r="B20" s="101">
        <v>7</v>
      </c>
      <c r="C20" s="446" t="s">
        <v>236</v>
      </c>
      <c r="D20" s="446"/>
      <c r="E20" s="446"/>
      <c r="F20" s="19">
        <f>SUMIF($J$29:$J$132,"Project Direct",K$29:K$132)</f>
        <v>94946</v>
      </c>
      <c r="G20" s="47">
        <f>SUMIF($J$29:$J$132,"Project Direct",L$29:L$132)</f>
        <v>0</v>
      </c>
      <c r="H20" s="19">
        <f>SUMIF($J$29:$J$132,"Project Direct",M$29:M$132)</f>
        <v>0</v>
      </c>
      <c r="I20" s="19">
        <f>SUMIF($J$29:$J$132,"Project Direct",N$29:N$132)</f>
        <v>0</v>
      </c>
      <c r="J20" s="19">
        <f>SUMIF($J$29:$J$132,"Project Direct",O$29:O$132)</f>
        <v>0</v>
      </c>
      <c r="K20" s="293">
        <f t="shared" si="0"/>
        <v>94946</v>
      </c>
      <c r="L20"/>
      <c r="M20"/>
      <c r="N20"/>
      <c r="O20" s="108"/>
      <c r="P20" s="108"/>
    </row>
    <row r="21" spans="2:17" ht="15.75" x14ac:dyDescent="0.25">
      <c r="B21" s="101">
        <v>8</v>
      </c>
      <c r="C21" s="459" t="s">
        <v>164</v>
      </c>
      <c r="D21" s="459"/>
      <c r="E21" s="459"/>
      <c r="F21" s="18">
        <f>SUM(F18:F20)</f>
        <v>100952</v>
      </c>
      <c r="G21" s="48">
        <f>SUM(G18:G20)</f>
        <v>0</v>
      </c>
      <c r="H21" s="18">
        <f>SUM(H18:H20)</f>
        <v>0</v>
      </c>
      <c r="I21" s="18">
        <f>SUM(I18:I20)</f>
        <v>0</v>
      </c>
      <c r="J21" s="18">
        <f t="shared" ref="J21" si="1">SUM(J18:J20)</f>
        <v>0</v>
      </c>
      <c r="K21" s="18">
        <f t="shared" ref="K21" si="2">SUM(K18:K20)</f>
        <v>100952</v>
      </c>
      <c r="L21"/>
      <c r="M21"/>
      <c r="N21"/>
      <c r="O21" s="108"/>
      <c r="P21" s="108"/>
    </row>
    <row r="22" spans="2:17" ht="30.95" customHeight="1" x14ac:dyDescent="0.25">
      <c r="B22" s="101">
        <v>9</v>
      </c>
      <c r="C22" s="456" t="s">
        <v>316</v>
      </c>
      <c r="D22" s="456"/>
      <c r="E22" s="456"/>
      <c r="F22" s="20">
        <f t="shared" ref="F22:K22" si="3">SUM(F14:F15,F17,F18:F20)</f>
        <v>108899</v>
      </c>
      <c r="G22" s="20">
        <f t="shared" si="3"/>
        <v>0</v>
      </c>
      <c r="H22" s="20">
        <f t="shared" si="3"/>
        <v>0</v>
      </c>
      <c r="I22" s="20">
        <f t="shared" si="3"/>
        <v>0</v>
      </c>
      <c r="J22" s="20">
        <f t="shared" si="3"/>
        <v>0</v>
      </c>
      <c r="K22" s="20">
        <f t="shared" si="3"/>
        <v>108899</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25</v>
      </c>
      <c r="D29" s="416" t="s">
        <v>329</v>
      </c>
      <c r="E29" s="416"/>
      <c r="F29" s="138">
        <v>42852</v>
      </c>
      <c r="G29" s="138">
        <v>42852</v>
      </c>
      <c r="H29" s="116">
        <v>364896</v>
      </c>
      <c r="I29" s="116"/>
      <c r="J29" s="118" t="s">
        <v>158</v>
      </c>
      <c r="K29" s="120"/>
      <c r="L29" s="120"/>
      <c r="M29" s="116"/>
      <c r="N29" s="116"/>
      <c r="O29" s="129"/>
      <c r="P29" s="293">
        <f t="shared" ref="P29:P64" si="4">SUM(K29:O29)</f>
        <v>0</v>
      </c>
    </row>
    <row r="30" spans="2:17" x14ac:dyDescent="0.2">
      <c r="B30" s="123">
        <v>1</v>
      </c>
      <c r="C30" s="139">
        <f t="shared" ref="C30:I31" si="5">IF(ISBLANK(C29),"",C29)</f>
        <v>25</v>
      </c>
      <c r="D30" s="397" t="str">
        <f t="shared" si="5"/>
        <v>CIBHS eBHS</v>
      </c>
      <c r="E30" s="140" t="str">
        <f t="shared" si="5"/>
        <v/>
      </c>
      <c r="F30" s="140">
        <f t="shared" si="5"/>
        <v>42852</v>
      </c>
      <c r="G30" s="140">
        <f t="shared" si="5"/>
        <v>42852</v>
      </c>
      <c r="H30" s="122">
        <f t="shared" si="5"/>
        <v>364896</v>
      </c>
      <c r="I30" s="122" t="str">
        <f t="shared" si="5"/>
        <v/>
      </c>
      <c r="J30" s="119" t="s">
        <v>159</v>
      </c>
      <c r="K30" s="120"/>
      <c r="L30" s="120"/>
      <c r="M30" s="116"/>
      <c r="N30" s="116"/>
      <c r="O30" s="129"/>
      <c r="P30" s="293">
        <f t="shared" si="4"/>
        <v>0</v>
      </c>
    </row>
    <row r="31" spans="2:17" x14ac:dyDescent="0.2">
      <c r="B31" s="123">
        <v>1</v>
      </c>
      <c r="C31" s="139">
        <f t="shared" ref="C31:H31" si="6">IF(ISBLANK(C29),"",C29)</f>
        <v>25</v>
      </c>
      <c r="D31" s="398" t="str">
        <f t="shared" si="6"/>
        <v>CIBHS eBHS</v>
      </c>
      <c r="E31" s="141" t="str">
        <f t="shared" si="6"/>
        <v/>
      </c>
      <c r="F31" s="141">
        <f t="shared" si="6"/>
        <v>42852</v>
      </c>
      <c r="G31" s="141">
        <f t="shared" si="6"/>
        <v>42852</v>
      </c>
      <c r="H31" s="119">
        <f t="shared" si="6"/>
        <v>364896</v>
      </c>
      <c r="I31" s="119" t="str">
        <f t="shared" si="5"/>
        <v/>
      </c>
      <c r="J31" s="119" t="s">
        <v>237</v>
      </c>
      <c r="K31" s="120">
        <f>100952-K34-K35</f>
        <v>56988</v>
      </c>
      <c r="L31" s="120"/>
      <c r="M31" s="116"/>
      <c r="N31" s="116"/>
      <c r="O31" s="129"/>
      <c r="P31" s="293">
        <f t="shared" si="4"/>
        <v>56988</v>
      </c>
    </row>
    <row r="32" spans="2:17" ht="15.75" x14ac:dyDescent="0.25">
      <c r="B32" s="96">
        <v>1</v>
      </c>
      <c r="C32" s="22">
        <f t="shared" ref="C32:I32" si="7">IF(ISBLANK(C29),"",C29)</f>
        <v>25</v>
      </c>
      <c r="D32" s="399" t="str">
        <f t="shared" si="7"/>
        <v>CIBHS eBHS</v>
      </c>
      <c r="E32" s="33" t="str">
        <f t="shared" si="7"/>
        <v/>
      </c>
      <c r="F32" s="33">
        <f t="shared" si="7"/>
        <v>42852</v>
      </c>
      <c r="G32" s="33">
        <f t="shared" si="7"/>
        <v>42852</v>
      </c>
      <c r="H32" s="34">
        <f t="shared" si="7"/>
        <v>364896</v>
      </c>
      <c r="I32" s="34" t="str">
        <f t="shared" si="7"/>
        <v/>
      </c>
      <c r="J32" s="8" t="s">
        <v>263</v>
      </c>
      <c r="K32" s="50">
        <f>SUM(K29:K31)</f>
        <v>56988</v>
      </c>
      <c r="L32" s="50">
        <f>SUM(L29:L31)</f>
        <v>0</v>
      </c>
      <c r="M32" s="35">
        <f t="shared" ref="M32:O32" si="8">SUM(M29:M31)</f>
        <v>0</v>
      </c>
      <c r="N32" s="35">
        <f t="shared" si="8"/>
        <v>0</v>
      </c>
      <c r="O32" s="311">
        <f t="shared" si="8"/>
        <v>0</v>
      </c>
      <c r="P32" s="8">
        <f t="shared" si="4"/>
        <v>56988</v>
      </c>
    </row>
    <row r="33" spans="2:16" x14ac:dyDescent="0.2">
      <c r="B33" s="123">
        <v>2</v>
      </c>
      <c r="C33" s="137">
        <f>IF(P36&lt;&gt;0,VLOOKUP($D$7,Info_County_Code,2,FALSE),"")</f>
        <v>25</v>
      </c>
      <c r="D33" s="395" t="s">
        <v>330</v>
      </c>
      <c r="E33" s="138"/>
      <c r="F33" s="138">
        <v>43216</v>
      </c>
      <c r="G33" s="138">
        <v>43216</v>
      </c>
      <c r="H33" s="116">
        <v>270000</v>
      </c>
      <c r="I33" s="116"/>
      <c r="J33" s="118" t="str">
        <f>IF(NOT(ISBLANK(D33)),$J$29,"")</f>
        <v>Project Administration</v>
      </c>
      <c r="K33" s="120">
        <v>0</v>
      </c>
      <c r="L33" s="120"/>
      <c r="M33" s="116"/>
      <c r="N33" s="116"/>
      <c r="O33" s="129"/>
      <c r="P33" s="293">
        <f t="shared" ref="P33:P36" si="9">SUM(K33:O33)</f>
        <v>0</v>
      </c>
    </row>
    <row r="34" spans="2:16" x14ac:dyDescent="0.2">
      <c r="B34" s="123">
        <v>2</v>
      </c>
      <c r="C34" s="139">
        <f t="shared" ref="C34:I34" si="10">IF(ISBLANK(C33),"",C33)</f>
        <v>25</v>
      </c>
      <c r="D34" s="397" t="str">
        <f t="shared" si="10"/>
        <v>Increase Access to Mental Health</v>
      </c>
      <c r="E34" s="140" t="str">
        <f t="shared" si="10"/>
        <v/>
      </c>
      <c r="F34" s="140">
        <f t="shared" si="10"/>
        <v>43216</v>
      </c>
      <c r="G34" s="140">
        <f t="shared" si="10"/>
        <v>43216</v>
      </c>
      <c r="H34" s="122">
        <f t="shared" si="10"/>
        <v>270000</v>
      </c>
      <c r="I34" s="122" t="str">
        <f t="shared" si="10"/>
        <v/>
      </c>
      <c r="J34" s="119" t="str">
        <f>IF(NOT(ISBLANK(D33)),$J$30,"")</f>
        <v>Project Evaluation</v>
      </c>
      <c r="K34" s="120">
        <v>6006</v>
      </c>
      <c r="L34" s="120"/>
      <c r="M34" s="116"/>
      <c r="N34" s="116"/>
      <c r="O34" s="129"/>
      <c r="P34" s="293">
        <f t="shared" si="9"/>
        <v>6006</v>
      </c>
    </row>
    <row r="35" spans="2:16" x14ac:dyDescent="0.2">
      <c r="B35" s="123">
        <v>2</v>
      </c>
      <c r="C35" s="139">
        <f t="shared" ref="C35:I35" si="11">IF(ISBLANK(C33),"",C33)</f>
        <v>25</v>
      </c>
      <c r="D35" s="398" t="str">
        <f t="shared" si="11"/>
        <v>Increase Access to Mental Health</v>
      </c>
      <c r="E35" s="141" t="str">
        <f t="shared" si="11"/>
        <v/>
      </c>
      <c r="F35" s="141">
        <f t="shared" si="11"/>
        <v>43216</v>
      </c>
      <c r="G35" s="141">
        <f t="shared" si="11"/>
        <v>43216</v>
      </c>
      <c r="H35" s="119">
        <f t="shared" si="11"/>
        <v>270000</v>
      </c>
      <c r="I35" s="119" t="str">
        <f t="shared" si="11"/>
        <v/>
      </c>
      <c r="J35" s="119" t="str">
        <f>IF(NOT(ISBLANK(D33)),$J$31,"")</f>
        <v>Project Direct</v>
      </c>
      <c r="K35" s="120">
        <f>43964-K34</f>
        <v>37958</v>
      </c>
      <c r="L35" s="120"/>
      <c r="M35" s="116"/>
      <c r="N35" s="116"/>
      <c r="O35" s="129"/>
      <c r="P35" s="293">
        <f t="shared" si="9"/>
        <v>37958</v>
      </c>
    </row>
    <row r="36" spans="2:16" ht="15.75" x14ac:dyDescent="0.25">
      <c r="B36" s="362">
        <v>2</v>
      </c>
      <c r="C36" s="22">
        <f t="shared" ref="C36:I36" si="12">IF(ISBLANK(C33),"",C33)</f>
        <v>25</v>
      </c>
      <c r="D36" s="399" t="str">
        <f t="shared" si="12"/>
        <v>Increase Access to Mental Health</v>
      </c>
      <c r="E36" s="33" t="str">
        <f t="shared" si="12"/>
        <v/>
      </c>
      <c r="F36" s="33">
        <f t="shared" si="12"/>
        <v>43216</v>
      </c>
      <c r="G36" s="33">
        <f t="shared" si="12"/>
        <v>43216</v>
      </c>
      <c r="H36" s="34">
        <f t="shared" si="12"/>
        <v>270000</v>
      </c>
      <c r="I36" s="34" t="str">
        <f t="shared" si="12"/>
        <v/>
      </c>
      <c r="J36" s="8" t="str">
        <f>IF(NOT(ISBLANK(D33)),$J$32,"")</f>
        <v>Project Subtotal</v>
      </c>
      <c r="K36" s="50">
        <f t="shared" ref="K36" si="13">SUM(K33:K35)</f>
        <v>43964</v>
      </c>
      <c r="L36" s="50">
        <f>SUM(L33:L35)</f>
        <v>0</v>
      </c>
      <c r="M36" s="35">
        <f t="shared" ref="M36:O36" si="14">SUM(M33:M35)</f>
        <v>0</v>
      </c>
      <c r="N36" s="35">
        <f t="shared" si="14"/>
        <v>0</v>
      </c>
      <c r="O36" s="311">
        <f t="shared" si="14"/>
        <v>0</v>
      </c>
      <c r="P36" s="8">
        <f t="shared" si="9"/>
        <v>43964</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6"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E31" sqref="E31"/>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Modoc</v>
      </c>
      <c r="F7" s="94" t="s">
        <v>2</v>
      </c>
      <c r="G7" s="38">
        <f>IF(ISBLANK('1. Information'!D7),"",'1. Information'!D7)</f>
        <v>43474</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3"/>
      <c r="F14" s="290"/>
      <c r="G14" s="142"/>
      <c r="H14" s="142"/>
      <c r="I14" s="142"/>
      <c r="J14" s="142"/>
      <c r="K14" s="292">
        <f>SUM(F14:J14)</f>
        <v>0</v>
      </c>
      <c r="L14"/>
      <c r="M14"/>
      <c r="N14" s="108"/>
      <c r="O14" s="108"/>
    </row>
    <row r="15" spans="1:22" ht="15.75" x14ac:dyDescent="0.25">
      <c r="A15" s="108"/>
      <c r="B15" s="101">
        <v>2</v>
      </c>
      <c r="C15" s="446" t="s">
        <v>17</v>
      </c>
      <c r="D15" s="446"/>
      <c r="E15" s="443"/>
      <c r="F15" s="290"/>
      <c r="G15" s="142"/>
      <c r="H15" s="142"/>
      <c r="I15" s="142"/>
      <c r="J15" s="142"/>
      <c r="K15" s="292">
        <f t="shared" ref="K15:K19" si="0">SUM(F15:J15)</f>
        <v>0</v>
      </c>
      <c r="L15"/>
      <c r="M15"/>
      <c r="N15" s="108"/>
      <c r="O15" s="108"/>
    </row>
    <row r="16" spans="1:22" ht="15.75" x14ac:dyDescent="0.25">
      <c r="A16" s="108"/>
      <c r="B16" s="101">
        <v>3</v>
      </c>
      <c r="C16" s="446" t="s">
        <v>238</v>
      </c>
      <c r="D16" s="446"/>
      <c r="E16" s="443"/>
      <c r="F16" s="290">
        <v>3805</v>
      </c>
      <c r="G16" s="355"/>
      <c r="H16" s="355"/>
      <c r="I16" s="355"/>
      <c r="J16" s="355"/>
      <c r="K16" s="292">
        <f t="shared" si="0"/>
        <v>3805</v>
      </c>
      <c r="L16"/>
      <c r="M16"/>
      <c r="N16" s="108"/>
      <c r="O16" s="108"/>
    </row>
    <row r="17" spans="1:22" ht="15.75" x14ac:dyDescent="0.25">
      <c r="A17" s="108"/>
      <c r="B17" s="101">
        <v>4</v>
      </c>
      <c r="C17" s="446" t="s">
        <v>221</v>
      </c>
      <c r="D17" s="446"/>
      <c r="E17" s="443"/>
      <c r="F17" s="367"/>
      <c r="G17" s="119"/>
      <c r="H17" s="119"/>
      <c r="I17" s="119"/>
      <c r="J17" s="119"/>
      <c r="K17" s="292">
        <f t="shared" si="0"/>
        <v>0</v>
      </c>
      <c r="L17"/>
      <c r="M17"/>
      <c r="N17" s="108"/>
      <c r="O17" s="108"/>
    </row>
    <row r="18" spans="1:22" ht="15.75" x14ac:dyDescent="0.25">
      <c r="A18" s="108"/>
      <c r="B18" s="101">
        <v>5</v>
      </c>
      <c r="C18" s="446" t="s">
        <v>222</v>
      </c>
      <c r="D18" s="446"/>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48336</v>
      </c>
      <c r="G19" s="121">
        <f t="shared" ref="G19:I19" si="1">SUM(F28:F32)</f>
        <v>0</v>
      </c>
      <c r="H19" s="122">
        <f t="shared" si="1"/>
        <v>0</v>
      </c>
      <c r="I19" s="122">
        <f t="shared" si="1"/>
        <v>0</v>
      </c>
      <c r="J19" s="122">
        <f>SUM(I28:I32)</f>
        <v>0</v>
      </c>
      <c r="K19" s="293">
        <f t="shared" si="0"/>
        <v>48336</v>
      </c>
      <c r="L19"/>
      <c r="M19"/>
      <c r="N19" s="108"/>
      <c r="O19" s="108"/>
    </row>
    <row r="20" spans="1:22" ht="30.95" customHeight="1" x14ac:dyDescent="0.25">
      <c r="A20" s="108"/>
      <c r="B20" s="101">
        <v>7</v>
      </c>
      <c r="C20" s="456" t="s">
        <v>220</v>
      </c>
      <c r="D20" s="456"/>
      <c r="E20" s="456"/>
      <c r="F20" s="8">
        <f>SUM(F14:F16,F18:F19)</f>
        <v>52141</v>
      </c>
      <c r="G20" s="43">
        <f t="shared" ref="G20:J20" si="2">SUM(G14:G16,G18:G19)</f>
        <v>0</v>
      </c>
      <c r="H20" s="7">
        <f t="shared" si="2"/>
        <v>0</v>
      </c>
      <c r="I20" s="7">
        <f t="shared" si="2"/>
        <v>0</v>
      </c>
      <c r="J20" s="7">
        <f t="shared" si="2"/>
        <v>0</v>
      </c>
      <c r="K20" s="8">
        <f>SUM(K14:K16,K18:K19)</f>
        <v>52141</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f>IF(J30&lt;&gt;0,VLOOKUP($D$7,Info_County_Code,2,FALSE),"")</f>
        <v>25</v>
      </c>
      <c r="D30" s="145" t="s">
        <v>107</v>
      </c>
      <c r="E30" s="116">
        <v>48336</v>
      </c>
      <c r="F30" s="120"/>
      <c r="G30" s="116"/>
      <c r="H30" s="116"/>
      <c r="I30" s="313"/>
      <c r="J30" s="119">
        <f t="shared" si="3"/>
        <v>48336</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G31" sqref="G31"/>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Modoc</v>
      </c>
      <c r="E7" s="16"/>
      <c r="F7" s="95" t="s">
        <v>2</v>
      </c>
      <c r="G7" s="109">
        <f>IF(ISBLANK('1. Information'!D7),"",'1. Information'!D7)</f>
        <v>43474</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1" t="s">
        <v>213</v>
      </c>
      <c r="H12" s="431"/>
      <c r="I12" s="431"/>
      <c r="J12" s="431"/>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3"/>
      <c r="F14" s="142"/>
      <c r="G14" s="142"/>
      <c r="H14" s="142"/>
      <c r="I14" s="142"/>
      <c r="J14" s="142"/>
      <c r="K14" s="118">
        <f>SUM(F14:J14)</f>
        <v>0</v>
      </c>
      <c r="L14"/>
      <c r="M14"/>
      <c r="U14" s="108"/>
      <c r="V14" s="108"/>
      <c r="W14" s="108"/>
    </row>
    <row r="15" spans="2:23" x14ac:dyDescent="0.25">
      <c r="B15" s="101">
        <v>2</v>
      </c>
      <c r="C15" s="446" t="s">
        <v>188</v>
      </c>
      <c r="D15" s="446"/>
      <c r="E15" s="443"/>
      <c r="F15" s="142"/>
      <c r="G15" s="142"/>
      <c r="H15" s="142"/>
      <c r="I15" s="142"/>
      <c r="J15" s="142"/>
      <c r="K15" s="118">
        <f t="shared" ref="K15:K20" si="0">SUM(F15:J15)</f>
        <v>0</v>
      </c>
      <c r="L15"/>
      <c r="M15"/>
      <c r="U15" s="108"/>
      <c r="V15" s="108"/>
      <c r="W15" s="108"/>
    </row>
    <row r="16" spans="2:23" x14ac:dyDescent="0.25">
      <c r="B16" s="101">
        <v>3</v>
      </c>
      <c r="C16" s="446" t="s">
        <v>123</v>
      </c>
      <c r="D16" s="446"/>
      <c r="E16" s="443"/>
      <c r="F16" s="142"/>
      <c r="G16" s="142"/>
      <c r="H16" s="142"/>
      <c r="I16" s="142"/>
      <c r="J16" s="142"/>
      <c r="K16" s="118">
        <f t="shared" si="0"/>
        <v>0</v>
      </c>
      <c r="L16"/>
      <c r="M16"/>
      <c r="U16" s="108"/>
      <c r="V16" s="108"/>
      <c r="W16" s="108"/>
    </row>
    <row r="17" spans="2:23" x14ac:dyDescent="0.25">
      <c r="B17" s="101">
        <v>4</v>
      </c>
      <c r="C17" s="446" t="s">
        <v>122</v>
      </c>
      <c r="D17" s="446"/>
      <c r="E17" s="443"/>
      <c r="F17" s="142"/>
      <c r="G17" s="142"/>
      <c r="H17" s="142"/>
      <c r="I17" s="142"/>
      <c r="J17" s="142"/>
      <c r="K17" s="118">
        <f t="shared" si="0"/>
        <v>0</v>
      </c>
      <c r="L17"/>
      <c r="M17"/>
      <c r="U17" s="108"/>
      <c r="V17" s="108"/>
      <c r="W17" s="108"/>
    </row>
    <row r="18" spans="2:23" x14ac:dyDescent="0.25">
      <c r="B18" s="101">
        <v>5</v>
      </c>
      <c r="C18" s="446" t="s">
        <v>239</v>
      </c>
      <c r="D18" s="446"/>
      <c r="E18" s="443"/>
      <c r="F18" s="142">
        <v>37353</v>
      </c>
      <c r="G18" s="142"/>
      <c r="H18" s="142"/>
      <c r="I18" s="142"/>
      <c r="J18" s="142"/>
      <c r="K18" s="118">
        <f t="shared" si="0"/>
        <v>37353</v>
      </c>
      <c r="L18"/>
      <c r="M18"/>
      <c r="U18" s="108"/>
      <c r="V18" s="108"/>
      <c r="W18" s="108"/>
    </row>
    <row r="19" spans="2:23" x14ac:dyDescent="0.25">
      <c r="B19" s="101">
        <v>6</v>
      </c>
      <c r="C19" s="446" t="s">
        <v>240</v>
      </c>
      <c r="D19" s="446"/>
      <c r="E19" s="443"/>
      <c r="F19" s="142"/>
      <c r="G19" s="142"/>
      <c r="H19" s="142"/>
      <c r="I19" s="142"/>
      <c r="J19" s="355"/>
      <c r="K19" s="118">
        <f t="shared" si="0"/>
        <v>0</v>
      </c>
      <c r="L19"/>
      <c r="M19"/>
      <c r="U19" s="108"/>
      <c r="V19" s="108"/>
      <c r="W19" s="108"/>
    </row>
    <row r="20" spans="2:23" x14ac:dyDescent="0.25">
      <c r="B20" s="101">
        <v>7</v>
      </c>
      <c r="C20" s="446" t="s">
        <v>175</v>
      </c>
      <c r="D20" s="446"/>
      <c r="E20" s="446"/>
      <c r="F20" s="121">
        <f>SUM(G28:G47)</f>
        <v>474510</v>
      </c>
      <c r="G20" s="121">
        <f>SUM(H28:H47)</f>
        <v>0</v>
      </c>
      <c r="H20" s="122">
        <f t="shared" ref="H20" si="1">SUM(I28:I47)</f>
        <v>0</v>
      </c>
      <c r="I20" s="122">
        <f>SUM(J28:J47)</f>
        <v>0</v>
      </c>
      <c r="J20" s="119">
        <f>SUM(K28:K47)</f>
        <v>0</v>
      </c>
      <c r="K20" s="118">
        <f t="shared" si="0"/>
        <v>474510</v>
      </c>
      <c r="L20"/>
      <c r="M20"/>
      <c r="U20" s="108"/>
      <c r="V20" s="108"/>
      <c r="W20" s="108"/>
    </row>
    <row r="21" spans="2:23" ht="30.95" customHeight="1" x14ac:dyDescent="0.25">
      <c r="B21" s="101">
        <v>8</v>
      </c>
      <c r="C21" s="465" t="s">
        <v>20</v>
      </c>
      <c r="D21" s="465"/>
      <c r="E21" s="465"/>
      <c r="F21" s="43">
        <f>SUM(F14:F20)</f>
        <v>511863</v>
      </c>
      <c r="G21" s="43">
        <f>SUM(G14:G20)</f>
        <v>0</v>
      </c>
      <c r="H21" s="7">
        <f t="shared" ref="H21:J21" si="2">SUM(H14:H20)</f>
        <v>0</v>
      </c>
      <c r="I21" s="7">
        <f t="shared" si="2"/>
        <v>0</v>
      </c>
      <c r="J21" s="299">
        <f t="shared" si="2"/>
        <v>0</v>
      </c>
      <c r="K21" s="7">
        <f t="shared" ref="K21" si="3">SUM(K14:K20)</f>
        <v>511863</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25</v>
      </c>
      <c r="D28" s="364" t="s">
        <v>331</v>
      </c>
      <c r="E28" s="151"/>
      <c r="F28" s="125" t="s">
        <v>176</v>
      </c>
      <c r="G28" s="117">
        <v>474510</v>
      </c>
      <c r="H28" s="126"/>
      <c r="I28" s="126"/>
      <c r="J28" s="117"/>
      <c r="K28" s="312"/>
      <c r="L28" s="316">
        <f>SUM(G28:K28)</f>
        <v>474510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9"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2019-01-10T16:44:10Z</cp:lastPrinted>
  <dcterms:created xsi:type="dcterms:W3CDTF">2017-07-05T19:48:18Z</dcterms:created>
  <dcterms:modified xsi:type="dcterms:W3CDTF">2019-05-21T21:05:40Z</dcterms:modified>
</cp:coreProperties>
</file>