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19200" windowHeight="10860" tabRatio="584" firstSheet="4" activeTab="11"/>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workbook>
</file>

<file path=xl/calcChain.xml><?xml version="1.0" encoding="utf-8"?>
<calcChain xmlns="http://schemas.openxmlformats.org/spreadsheetml/2006/main">
  <c r="D15" i="19" l="1"/>
  <c r="F15" i="2" l="1"/>
  <c r="F18" i="2"/>
  <c r="F21" i="22" l="1"/>
  <c r="K39" i="22" l="1"/>
  <c r="K33"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0" i="2" l="1"/>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22" i="3"/>
  <c r="C123" i="3"/>
  <c r="P96" i="3"/>
  <c r="C93" i="3" s="1"/>
  <c r="C96" i="3" s="1"/>
  <c r="C90" i="3"/>
  <c r="C91" i="3"/>
  <c r="P36" i="3"/>
  <c r="C33" i="3" s="1"/>
  <c r="C118" i="3" l="1"/>
  <c r="C111" i="3"/>
  <c r="C94" i="3"/>
  <c r="C119" i="3"/>
  <c r="C110" i="3"/>
  <c r="C107" i="3"/>
  <c r="C102" i="3"/>
  <c r="C129" i="3"/>
  <c r="C131" i="3" s="1"/>
  <c r="C128" i="3"/>
  <c r="C103" i="3"/>
  <c r="C95" i="3"/>
  <c r="C127" i="3"/>
  <c r="C115" i="3"/>
  <c r="C99" i="3"/>
  <c r="C98" i="3"/>
  <c r="C106" i="3"/>
  <c r="C114" i="3"/>
  <c r="B3" i="20"/>
  <c r="B4" i="20"/>
  <c r="C130" i="3" l="1"/>
  <c r="C132"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J31" i="5"/>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0" i="22" l="1"/>
  <c r="C35" i="22"/>
  <c r="C37" i="22"/>
  <c r="C36" i="22"/>
  <c r="C38" i="22"/>
  <c r="C34" i="22"/>
  <c r="C39" i="22"/>
  <c r="C41"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C28" i="6" s="1"/>
  <c r="D7" i="5"/>
  <c r="D7" i="3"/>
  <c r="D7" i="2"/>
  <c r="C71" i="17"/>
  <c r="B71" i="17"/>
  <c r="E71" i="17" s="1"/>
  <c r="E70" i="17"/>
  <c r="C69" i="17"/>
  <c r="B69" i="17"/>
  <c r="E69" i="17" s="1"/>
  <c r="C29" i="5" l="1"/>
  <c r="C30" i="5"/>
  <c r="C32" i="5"/>
  <c r="C31" i="5"/>
  <c r="C28" i="5"/>
  <c r="C37" i="2"/>
  <c r="C38" i="2"/>
  <c r="C39" i="2"/>
  <c r="C36"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2" i="3"/>
  <c r="C83" i="3"/>
  <c r="C66" i="3"/>
  <c r="C67" i="3"/>
  <c r="C64" i="3"/>
  <c r="C63" i="3"/>
  <c r="C56" i="3"/>
  <c r="C55" i="3"/>
  <c r="C50" i="3"/>
  <c r="C44" i="3"/>
  <c r="C43" i="3"/>
  <c r="C38" i="3"/>
  <c r="C39" i="3"/>
  <c r="C71" i="3" l="1"/>
  <c r="C60" i="3"/>
  <c r="C87" i="3"/>
  <c r="C46" i="3"/>
  <c r="C52" i="3"/>
  <c r="C75" i="3"/>
  <c r="C86" i="3"/>
  <c r="C58" i="3"/>
  <c r="C47" i="3"/>
  <c r="C76" i="3"/>
  <c r="C70" i="3"/>
  <c r="C79" i="3"/>
  <c r="C7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G22" i="3" l="1"/>
  <c r="I22" i="3"/>
  <c r="H22" i="3"/>
  <c r="F32" i="19" s="1"/>
  <c r="N32" i="19" s="1"/>
  <c r="J22" i="3"/>
  <c r="F34" i="19" s="1"/>
  <c r="N34" i="19" s="1"/>
  <c r="F22" i="3"/>
  <c r="F30" i="19" s="1"/>
  <c r="K18" i="3"/>
  <c r="K19" i="3"/>
  <c r="D40" i="19" s="1"/>
  <c r="F33" i="19"/>
  <c r="N33" i="19" s="1"/>
  <c r="I21" i="3"/>
  <c r="F31" i="19"/>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<sst xmlns="http://schemas.openxmlformats.org/spreadsheetml/2006/main" count="803" uniqueCount="346">
  <si>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</si>
  <si>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</si>
  <si>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</si>
  <si>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</si>
  <si>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</si>
  <si>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</si>
  <si>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</si>
  <si>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</si>
  <si>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</si>
  <si>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</si>
  <si>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</si>
  <si>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</si>
  <si>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</si>
  <si>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</si>
  <si>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</si>
  <si>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</si>
  <si>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</si>
  <si>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</si>
  <si>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</si>
  <si>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</si>
  <si>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</si>
  <si>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</si>
  <si>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</si>
  <si>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</si>
  <si>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</si>
  <si>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</si>
  <si>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</si>
  <si>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</si>
  <si>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</si>
  <si>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</si>
  <si>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</si>
  <si>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</si>
  <si>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</si>
  <si>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</si>
  <si>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</si>
  <si>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</si>
  <si>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</si>
  <si>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</si>
  <si>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</si>
  <si>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</si>
  <si>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</si>
  <si>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</si>
  <si>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</si>
  <si>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</si>
  <si>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</si>
  <si>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</si>
  <si>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</si>
  <si>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</si>
  <si>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</si>
  <si>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</si>
  <si>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</si>
  <si>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</si>
  <si>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</si>
  <si>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</si>
  <si>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</si>
  <si>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</si>
  <si>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</si>
  <si>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</si>
  <si>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</si>
  <si>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</si>
  <si>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</si>
  <si>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</si>
  <si>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</si>
  <si>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</si>
  <si>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</si>
  <si>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</si>
  <si>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</si>
  <si>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</si>
  <si>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</si>
  <si>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</si>
  <si>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</si>
  <si>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</si>
  <si>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</si>
  <si>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</si>
  <si>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</si>
  <si>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</si>
  <si>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</si>
  <si>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</si>
  <si>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</si>
  <si>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</si>
  <si>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</si>
  <si>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</si>
  <si>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</si>
  <si>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</si>
  <si>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</si>
  <si>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</si>
  <si>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</si>
  <si>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</si>
  <si>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</si>
  <si>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</si>
  <si>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</si>
  <si>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</si>
  <si>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</si>
  <si>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</si>
  <si>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</si>
  <si>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</si>
  <si>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</si>
  <si>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</si>
  <si>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</si>
  <si>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</si>
  <si>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</si>
  <si>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</si>
  <si>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</si>
  <si>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</si>
  <si>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</si>
  <si>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</si>
  <si>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</si>
  <si>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</si>
  <si>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</si>
  <si>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</si>
  <si>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</si>
  <si>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</si>
  <si>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</si>
  <si>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</si>
  <si>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</si>
  <si>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</si>
  <si>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</si>
  <si>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</si>
  <si>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</si>
  <si>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</si>
  <si>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</si>
  <si>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</si>
  <si>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</si>
  <si>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</si>
  <si>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</si>
  <si>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</si>
  <si>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</si>
  <si>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</si>
  <si>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</si>
  <si>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</si>
  <si>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</si>
  <si>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</si>
  <si>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</si>
  <si>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</si>
  <si>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</si>
  <si>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</si>
  <si>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</si>
  <si>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</si>
  <si>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</si>
  <si>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</si>
  <si>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</si>
  <si>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</si>
  <si>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</si>
  <si>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</si>
  <si>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</si>
  <si>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</si>
  <si>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</si>
  <si>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</si>
  <si>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</si>
  <si>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</si>
  <si>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</si>
  <si>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</si>
  <si>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</si>
  <si>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</si>
  <si>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</si>
  <si>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</si>
  <si>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</si>
  <si>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</si>
  <si>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</si>
  <si>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</si>
  <si>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</si>
  <si>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</si>
  <si>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</si>
  <si>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</si>
  <si>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</si>
  <si>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</si>
  <si>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</si>
  <si>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</si>
  <si>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</si>
  <si>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</si>
  <si>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</si>
  <si>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</si>
  <si>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</si>
  <si>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</si>
  <si>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</si>
  <si>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</si>
  <si>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</si>
  <si>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</si>
  <si>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</si>
  <si>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</si>
  <si>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</si>
  <si>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</si>
  <si>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</si>
  <si>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</si>
  <si>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</si>
  <si>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</si>
  <si>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</si>
  <si>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</si>
  <si>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</si>
  <si>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</si>
  <si>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</si>
  <si>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</si>
  <si>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</si>
  <si>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</si>
  <si>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</si>
  <si>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</si>
  <si>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</si>
  <si>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</si>
  <si>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</si>
  <si>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</si>
  <si>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</si>
  <si>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</si>
  <si>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</si>
  <si>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</si>
  <si>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</si>
  <si>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</si>
  <si>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</si>
  <si>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</si>
  <si>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</si>
  <si>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</si>
  <si>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</si>
  <si>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</si>
  <si>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</si>
  <si>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</si>
  <si>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</si>
  <si>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</si>
  <si>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</si>
  <si>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</si>
  <si>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</si>
  <si>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</si>
  <si>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</si>
  <si>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</si>
  <si>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</si>
  <si>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</si>
  <si>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</si>
  <si>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</si>
  <si>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</si>
  <si>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</si>
  <si>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</si>
  <si>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</si>
  <si>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</si>
  <si>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</si>
  <si>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</si>
  <si>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</si>
  <si>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</si>
  <si>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</si>
  <si>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</si>
  <si>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</si>
  <si>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</si>
  <si>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</si>
  <si>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</si>
  <si>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</si>
  <si>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</si>
  <si>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</si>
  <si>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</si>
  <si>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</si>
  <si>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</si>
  <si>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</si>
  <si>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</si>
  <si>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</si>
  <si>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</si>
  <si>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</si>
  <si>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</si>
  <si>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</si>
  <si>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</si>
  <si>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</si>
  <si>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</si>
  <si>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</si>
  <si>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</si>
  <si>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</si>
  <si>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</si>
  <si>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</si>
  <si>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</si>
  <si>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</si>
  <si>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</si>
  <si>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</si>
  <si>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</si>
  <si>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</si>
  <si>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</si>
  <si>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</si>
  <si>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</si>
  <si>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</si>
  <si>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</si>
  <si>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</si>
  <si>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</si>
  <si>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</si>
  <si>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</si>
  <si>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</si>
  <si>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</si>
  <si>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</si>
  <si>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</si>
  <si>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</si>
  <si>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</si>
  <si>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</si>
  <si>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</si>
  <si>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</si>
  <si>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</si>
  <si>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</si>
  <si>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</si>
  <si>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</si>
  <si>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</si>
  <si>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</si>
  <si>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</si>
  <si>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</si>
  <si>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</si>
  <si>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</si>
  <si>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</si>
  <si>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</si>
  <si>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</si>
  <si>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</si>
  <si>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</si>
  <si>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</si>
  <si>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</si>
  <si>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</si>
  <si>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</si>
  <si>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</si>
  <si>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</si>
  <si>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</si>
  <si>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</si>
  <si>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</si>
  <si>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</si>
  <si>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</si>
  <si>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</si>
  <si>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</si>
  <si>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</si>
  <si>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</si>
  <si>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</si>
  <si>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</si>
  <si>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</si>
  <si>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</si>
  <si>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</si>
  <si>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</si>
  <si>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7001 A East Parkway</t>
  </si>
  <si>
    <t>Robert Gillette</t>
  </si>
  <si>
    <t>Accounting Manager</t>
  </si>
  <si>
    <t>Gilletter@Saccounty.net</t>
  </si>
  <si>
    <t>916-475-8395</t>
  </si>
  <si>
    <t>SAC9- Crisis Residential  Program</t>
  </si>
  <si>
    <t>SAC8- TAY Full Services Partnership</t>
  </si>
  <si>
    <t>SAC7- Juvenile Justice Diversion and Treatment Program</t>
  </si>
  <si>
    <t>SAC6- Adult Full Services Partnership</t>
  </si>
  <si>
    <t xml:space="preserve">SAC5- Wellness and Recovery Center </t>
  </si>
  <si>
    <t>SAC4- Transcultural Wellness Center</t>
  </si>
  <si>
    <t>SAC3- Permanent Supportive Housing Program</t>
  </si>
  <si>
    <t>SAC1- Transitional Communitiy Opportunities for Recovery and Engagement</t>
  </si>
  <si>
    <t>Program 2 - Mental Health Ungent Care Clinic</t>
  </si>
  <si>
    <t xml:space="preserve">Upgrading System </t>
  </si>
  <si>
    <t>Suicide Prevention and Education Program</t>
  </si>
  <si>
    <t>Strenghtening Families Progect</t>
  </si>
  <si>
    <t>Early Diagnosis and Preventative Treatment</t>
  </si>
  <si>
    <t>Mental Health Promotion Project</t>
  </si>
  <si>
    <t>SAC2- Sierra Elder Wellness Program</t>
  </si>
  <si>
    <t>Change was required due to submitting the 12/13 final cost report</t>
  </si>
  <si>
    <t>Change was required due to discoveriong an error in the 13/14 cost report</t>
  </si>
  <si>
    <t>Change was required due to discoveriong an error in the 14/15 cost report</t>
  </si>
  <si>
    <t xml:space="preserve">Change was required due to submitting 15/16 cost report and reporting actual costs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</si>
</sst>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 numFmtId="172" formatCode="#,##0;\-#,##0;&quot;-&quot;"/>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
      <sz val="10"/>
      <color indexed="8"/>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157">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18" fillId="0" borderId="0"/>
    <xf numFmtId="44" fontId="18" fillId="0" borderId="0" applyFont="0" applyFill="0" applyBorder="0" applyAlignment="0" applyProtection="0"/>
    <xf numFmtId="172" fontId="44" fillId="0" borderId="0" applyFill="0" applyBorder="0" applyAlignment="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9" fillId="0" borderId="15" applyNumberFormat="0" applyAlignment="0" applyProtection="0">
      <alignment horizontal="left" vertical="center"/>
    </xf>
    <xf numFmtId="0" fontId="19" fillId="0" borderId="5">
      <alignment horizontal="left" vertical="center"/>
    </xf>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20" fillId="0" borderId="0"/>
    <xf numFmtId="9" fontId="20" fillId="0" borderId="0" applyFont="0" applyFill="0" applyBorder="0" applyAlignment="0" applyProtection="0"/>
    <xf numFmtId="0" fontId="18" fillId="0" borderId="0"/>
    <xf numFmtId="44" fontId="1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44" fillId="0" borderId="0"/>
    <xf numFmtId="0" fontId="18" fillId="0" borderId="0"/>
    <xf numFmtId="0" fontId="18" fillId="0" borderId="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20" fillId="0" borderId="0"/>
    <xf numFmtId="9" fontId="20" fillId="0" borderId="0" applyFont="0" applyFill="0" applyBorder="0" applyAlignment="0" applyProtection="0"/>
    <xf numFmtId="0" fontId="18" fillId="0" borderId="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9"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cellStyleXfs>
  <cellXfs count="469">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157">
    <cellStyle name="Calc Currency (0)" xfId="17"/>
    <cellStyle name="Comma 2" xfId="18"/>
    <cellStyle name="Comma 2 2" xfId="46"/>
    <cellStyle name="Comma 2 2 2" xfId="77"/>
    <cellStyle name="Comma 2 2 2 2" xfId="84"/>
    <cellStyle name="Comma 2 2 3" xfId="83"/>
    <cellStyle name="Comma 2 3" xfId="54"/>
    <cellStyle name="Comma 2 3 2" xfId="85"/>
    <cellStyle name="Comma 2 4" xfId="86"/>
    <cellStyle name="Comma 2 5" xfId="82"/>
    <cellStyle name="Comma 3" xfId="47"/>
    <cellStyle name="Currency" xfId="7" builtinId="4"/>
    <cellStyle name="Currency 2" xfId="9"/>
    <cellStyle name="Currency 2 2" xfId="19"/>
    <cellStyle name="Currency 2 2 2" xfId="20"/>
    <cellStyle name="Currency 2 2 2 2" xfId="56"/>
    <cellStyle name="Currency 2 2 2 2 2" xfId="89"/>
    <cellStyle name="Currency 2 2 2 3" xfId="90"/>
    <cellStyle name="Currency 2 2 2 4" xfId="88"/>
    <cellStyle name="Currency 2 2 3" xfId="55"/>
    <cellStyle name="Currency 2 2 3 2" xfId="91"/>
    <cellStyle name="Currency 2 2 4" xfId="92"/>
    <cellStyle name="Currency 2 2 5" xfId="87"/>
    <cellStyle name="Currency 2 3" xfId="21"/>
    <cellStyle name="Currency 2 3 2" xfId="57"/>
    <cellStyle name="Currency 2 3 2 2" xfId="94"/>
    <cellStyle name="Currency 2 3 3" xfId="95"/>
    <cellStyle name="Currency 2 3 4" xfId="93"/>
    <cellStyle name="Currency 2 4" xfId="48"/>
    <cellStyle name="Currency 2 4 2" xfId="78"/>
    <cellStyle name="Currency 2 4 2 2" xfId="97"/>
    <cellStyle name="Currency 2 4 3" xfId="96"/>
    <cellStyle name="Currency 3" xfId="10"/>
    <cellStyle name="Currency 3 2" xfId="22"/>
    <cellStyle name="Currency 3 2 2" xfId="58"/>
    <cellStyle name="Currency 3 2 2 2" xfId="99"/>
    <cellStyle name="Currency 3 2 3" xfId="100"/>
    <cellStyle name="Currency 3 2 4" xfId="98"/>
    <cellStyle name="Currency 3 3" xfId="49"/>
    <cellStyle name="Currency 3 3 2" xfId="79"/>
    <cellStyle name="Currency 3 3 2 2" xfId="102"/>
    <cellStyle name="Currency 3 3 3" xfId="101"/>
    <cellStyle name="Currency 4" xfId="11"/>
    <cellStyle name="Currency 4 2" xfId="23"/>
    <cellStyle name="Currency 5" xfId="24"/>
    <cellStyle name="Currency 5 2" xfId="59"/>
    <cellStyle name="Currency 5 2 2" xfId="104"/>
    <cellStyle name="Currency 5 3" xfId="105"/>
    <cellStyle name="Currency 5 4" xfId="103"/>
    <cellStyle name="Currency 6" xfId="25"/>
    <cellStyle name="Currency 6 2" xfId="60"/>
    <cellStyle name="Currency 6 2 2" xfId="107"/>
    <cellStyle name="Currency 6 3" xfId="108"/>
    <cellStyle name="Currency 6 4" xfId="106"/>
    <cellStyle name="Currency 7" xfId="16"/>
    <cellStyle name="Currency 7 2" xfId="53"/>
    <cellStyle name="Currency 7 2 2" xfId="110"/>
    <cellStyle name="Currency 7 3" xfId="111"/>
    <cellStyle name="Currency 7 4" xfId="109"/>
    <cellStyle name="Currency 8" xfId="45"/>
    <cellStyle name="Currency 8 2" xfId="76"/>
    <cellStyle name="Currency 8 2 2" xfId="113"/>
    <cellStyle name="Currency 8 3" xfId="112"/>
    <cellStyle name="Currency 9" xfId="8"/>
    <cellStyle name="Header1" xfId="26"/>
    <cellStyle name="Header2" xfId="27"/>
    <cellStyle name="Hyperlink" xfId="4" builtinId="8"/>
    <cellStyle name="Normal" xfId="0" builtinId="0"/>
    <cellStyle name="Normal 10" xfId="28"/>
    <cellStyle name="Normal 10 2" xfId="61"/>
    <cellStyle name="Normal 10 2 2" xfId="115"/>
    <cellStyle name="Normal 10 3" xfId="116"/>
    <cellStyle name="Normal 10 4" xfId="114"/>
    <cellStyle name="Normal 11" xfId="42"/>
    <cellStyle name="Normal 11 2" xfId="73"/>
    <cellStyle name="Normal 12" xfId="44"/>
    <cellStyle name="Normal 12 2" xfId="75"/>
    <cellStyle name="Normal 12 2 2" xfId="118"/>
    <cellStyle name="Normal 12 3" xfId="117"/>
    <cellStyle name="Normal 2" xfId="2"/>
    <cellStyle name="Normal 2 2" xfId="5"/>
    <cellStyle name="Normal 2 2 2" xfId="29"/>
    <cellStyle name="Normal 2 3" xfId="50"/>
    <cellStyle name="Normal 3" xfId="3"/>
    <cellStyle name="Normal 3 2" xfId="30"/>
    <cellStyle name="Normal 3 3" xfId="12"/>
    <cellStyle name="Normal 4" xfId="13"/>
    <cellStyle name="Normal 4 2" xfId="31"/>
    <cellStyle name="Normal 4 2 2" xfId="62"/>
    <cellStyle name="Normal 4 2 2 2" xfId="120"/>
    <cellStyle name="Normal 4 2 3" xfId="121"/>
    <cellStyle name="Normal 4 2 4" xfId="119"/>
    <cellStyle name="Normal 4 3" xfId="32"/>
    <cellStyle name="Normal 4 3 2" xfId="63"/>
    <cellStyle name="Normal 4 3 2 2" xfId="123"/>
    <cellStyle name="Normal 4 3 3" xfId="124"/>
    <cellStyle name="Normal 4 3 4" xfId="122"/>
    <cellStyle name="Normal 4 4" xfId="51"/>
    <cellStyle name="Normal 4 4 2" xfId="80"/>
    <cellStyle name="Normal 4 4 2 2" xfId="126"/>
    <cellStyle name="Normal 4 4 3" xfId="125"/>
    <cellStyle name="Normal 5" xfId="14"/>
    <cellStyle name="Normal 6" xfId="6"/>
    <cellStyle name="Normal 6 2" xfId="64"/>
    <cellStyle name="Normal 6 2 2" xfId="128"/>
    <cellStyle name="Normal 6 3" xfId="129"/>
    <cellStyle name="Normal 6 4" xfId="127"/>
    <cellStyle name="Normal 7" xfId="33"/>
    <cellStyle name="Normal 7 2" xfId="65"/>
    <cellStyle name="Normal 7 2 2" xfId="131"/>
    <cellStyle name="Normal 7 3" xfId="132"/>
    <cellStyle name="Normal 7 4" xfId="130"/>
    <cellStyle name="Normal 8" xfId="34"/>
    <cellStyle name="Normal 9" xfId="15"/>
    <cellStyle name="Normal 9 2" xfId="52"/>
    <cellStyle name="Normal 9 2 2" xfId="134"/>
    <cellStyle name="Normal 9 3" xfId="135"/>
    <cellStyle name="Normal 9 4" xfId="133"/>
    <cellStyle name="Percent" xfId="1" builtinId="5"/>
    <cellStyle name="Percent 2" xfId="35"/>
    <cellStyle name="Percent 2 2" xfId="36"/>
    <cellStyle name="Percent 2 2 2" xfId="67"/>
    <cellStyle name="Percent 2 2 2 2" xfId="138"/>
    <cellStyle name="Percent 2 2 3" xfId="139"/>
    <cellStyle name="Percent 2 2 4" xfId="137"/>
    <cellStyle name="Percent 2 3" xfId="37"/>
    <cellStyle name="Percent 2 3 2" xfId="68"/>
    <cellStyle name="Percent 2 3 2 2" xfId="141"/>
    <cellStyle name="Percent 2 3 3" xfId="142"/>
    <cellStyle name="Percent 2 3 4" xfId="140"/>
    <cellStyle name="Percent 2 4" xfId="66"/>
    <cellStyle name="Percent 2 4 2" xfId="143"/>
    <cellStyle name="Percent 2 5" xfId="144"/>
    <cellStyle name="Percent 2 6" xfId="136"/>
    <cellStyle name="Percent 3" xfId="38"/>
    <cellStyle name="Percent 3 2" xfId="39"/>
    <cellStyle name="Percent 3 2 2" xfId="70"/>
    <cellStyle name="Percent 3 2 2 2" xfId="147"/>
    <cellStyle name="Percent 3 2 3" xfId="148"/>
    <cellStyle name="Percent 3 2 4" xfId="146"/>
    <cellStyle name="Percent 3 3" xfId="40"/>
    <cellStyle name="Percent 3 3 2" xfId="71"/>
    <cellStyle name="Percent 3 3 2 2" xfId="150"/>
    <cellStyle name="Percent 3 3 3" xfId="151"/>
    <cellStyle name="Percent 3 3 4" xfId="149"/>
    <cellStyle name="Percent 3 4" xfId="69"/>
    <cellStyle name="Percent 3 4 2" xfId="152"/>
    <cellStyle name="Percent 3 5" xfId="153"/>
    <cellStyle name="Percent 3 6" xfId="145"/>
    <cellStyle name="Percent 4" xfId="41"/>
    <cellStyle name="Percent 4 2" xfId="72"/>
    <cellStyle name="Percent 4 2 2" xfId="155"/>
    <cellStyle name="Percent 4 3" xfId="156"/>
    <cellStyle name="Percent 4 4" xfId="154"/>
    <cellStyle name="Percent 5" xfId="81"/>
    <cellStyle name="Percent 6" xfId="74"/>
    <cellStyle name="Percent 7" xfId="4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Reversion Statewide (2)"/>
      <sheetName val="Enclosure 1"/>
      <sheetName val="Enclosure 2 (Remit)"/>
      <sheetName val="Reverted Funds (Remit)"/>
      <sheetName val="AB 114 Plans (Remit)"/>
      <sheetName val="Difference (Rem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7"/>
      <c r="C1" s="457"/>
      <c r="D1" s="457"/>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0" t="s">
        <v>1</v>
      </c>
      <c r="C7" s="430"/>
      <c r="D7" s="9" t="str">
        <f>IF(ISBLANK('1. Information'!D8),"",'1. Information'!D8)</f>
        <v>Sacramento</v>
      </c>
      <c r="F7" s="94" t="s">
        <v>2</v>
      </c>
      <c r="G7" s="109">
        <f>IF(ISBLANK('1. Information'!D7),"",'1. Information'!D7)</f>
        <v>43435</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6" t="s">
        <v>30</v>
      </c>
      <c r="G12" s="456"/>
      <c r="H12" s="456"/>
      <c r="I12" s="456"/>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opLeftCell="A19" zoomScale="70" zoomScaleNormal="70" workbookViewId="0">
      <selection activeCell="D13" sqref="D13"/>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0" t="s">
        <v>1</v>
      </c>
      <c r="C7" s="430"/>
      <c r="D7" s="9" t="str">
        <f>IF(ISBLANK('1. Information'!D8),"",'1. Information'!D8)</f>
        <v>Sacramento</v>
      </c>
      <c r="E7" s="3"/>
      <c r="F7" s="97" t="s">
        <v>178</v>
      </c>
      <c r="G7" s="109">
        <f>IF(ISBLANK('1. Information'!D7),"",'1. Information'!D7)</f>
        <v>43435</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31.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abSelected="1" zoomScale="85" zoomScaleNormal="85" workbookViewId="0">
      <selection activeCell="H14" sqref="H14"/>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7"/>
      <c r="C1" s="457"/>
      <c r="D1" s="457"/>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0" t="s">
        <v>1</v>
      </c>
      <c r="C7" s="430"/>
      <c r="D7" s="9" t="str">
        <f>IF(ISBLANK('1. Information'!D8),"",'1. Information'!D8)</f>
        <v>Sacramento</v>
      </c>
      <c r="F7" s="94" t="s">
        <v>2</v>
      </c>
      <c r="G7" s="38">
        <f>IF(ISBLANK('1. Information'!D7),"",'1. Information'!D7)</f>
        <v>43435</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f t="shared" ref="C13:C52" si="0">IF(I13&lt;&gt;0,VLOOKUP($D$7,Info_County_Code,2,FALSE),"")</f>
        <v>34</v>
      </c>
      <c r="D13" s="379" t="s">
        <v>294</v>
      </c>
      <c r="E13" s="149" t="s">
        <v>181</v>
      </c>
      <c r="F13" s="390" t="s">
        <v>34</v>
      </c>
      <c r="G13" s="92">
        <v>24492056</v>
      </c>
      <c r="H13" s="92">
        <v>-536572</v>
      </c>
      <c r="I13" s="91">
        <f>SUM(G13:H13)</f>
        <v>23955484</v>
      </c>
    </row>
    <row r="14" spans="2:9" x14ac:dyDescent="0.2">
      <c r="B14" s="101">
        <v>2</v>
      </c>
      <c r="C14" s="132">
        <f t="shared" si="0"/>
        <v>34</v>
      </c>
      <c r="D14" s="379" t="s">
        <v>294</v>
      </c>
      <c r="E14" s="149" t="s">
        <v>181</v>
      </c>
      <c r="F14" s="390" t="s">
        <v>35</v>
      </c>
      <c r="G14" s="92">
        <v>7391804</v>
      </c>
      <c r="H14" s="92">
        <v>62964.55</v>
      </c>
      <c r="I14" s="91">
        <f t="shared" ref="I14:I52" si="1">SUM(G14:H14)</f>
        <v>7454768.5499999998</v>
      </c>
    </row>
    <row r="15" spans="2:9" x14ac:dyDescent="0.2">
      <c r="B15" s="101">
        <v>3</v>
      </c>
      <c r="C15" s="132">
        <f t="shared" si="0"/>
        <v>34</v>
      </c>
      <c r="D15" s="379" t="s">
        <v>293</v>
      </c>
      <c r="E15" s="149" t="s">
        <v>182</v>
      </c>
      <c r="F15" s="390" t="s">
        <v>34</v>
      </c>
      <c r="G15" s="92">
        <v>24069623</v>
      </c>
      <c r="H15" s="92">
        <v>-879799</v>
      </c>
      <c r="I15" s="91">
        <f t="shared" si="1"/>
        <v>23189824</v>
      </c>
    </row>
    <row r="16" spans="2:9" x14ac:dyDescent="0.2">
      <c r="B16" s="101">
        <v>4</v>
      </c>
      <c r="C16" s="132">
        <f t="shared" si="0"/>
        <v>34</v>
      </c>
      <c r="D16" s="379" t="s">
        <v>293</v>
      </c>
      <c r="E16" s="149" t="s">
        <v>182</v>
      </c>
      <c r="F16" s="390" t="s">
        <v>35</v>
      </c>
      <c r="G16" s="92">
        <v>8640274</v>
      </c>
      <c r="H16" s="92">
        <v>-373961</v>
      </c>
      <c r="I16" s="91">
        <f t="shared" si="1"/>
        <v>8266313</v>
      </c>
    </row>
    <row r="17" spans="2:11" x14ac:dyDescent="0.2">
      <c r="B17" s="101">
        <v>5</v>
      </c>
      <c r="C17" s="132">
        <f t="shared" si="0"/>
        <v>34</v>
      </c>
      <c r="D17" s="379" t="s">
        <v>292</v>
      </c>
      <c r="E17" s="149" t="s">
        <v>182</v>
      </c>
      <c r="F17" s="390" t="s">
        <v>34</v>
      </c>
      <c r="G17" s="92">
        <v>21900845</v>
      </c>
      <c r="H17" s="92">
        <v>-748712</v>
      </c>
      <c r="I17" s="91">
        <f t="shared" si="1"/>
        <v>21152133</v>
      </c>
    </row>
    <row r="18" spans="2:11" x14ac:dyDescent="0.2">
      <c r="B18" s="101">
        <v>6</v>
      </c>
      <c r="C18" s="132">
        <f t="shared" si="0"/>
        <v>34</v>
      </c>
      <c r="D18" s="379" t="s">
        <v>292</v>
      </c>
      <c r="E18" s="149" t="s">
        <v>182</v>
      </c>
      <c r="F18" s="390" t="s">
        <v>35</v>
      </c>
      <c r="G18" s="92">
        <v>9106659</v>
      </c>
      <c r="H18" s="92">
        <v>-258785</v>
      </c>
      <c r="I18" s="91">
        <f t="shared" si="1"/>
        <v>8847874</v>
      </c>
    </row>
    <row r="19" spans="2:11" x14ac:dyDescent="0.2">
      <c r="B19" s="101">
        <v>7</v>
      </c>
      <c r="C19" s="132">
        <f t="shared" si="0"/>
        <v>34</v>
      </c>
      <c r="D19" s="379" t="s">
        <v>291</v>
      </c>
      <c r="E19" s="149" t="s">
        <v>182</v>
      </c>
      <c r="F19" s="390" t="s">
        <v>34</v>
      </c>
      <c r="G19" s="92">
        <v>30116605</v>
      </c>
      <c r="H19" s="92">
        <v>-1396495.59</v>
      </c>
      <c r="I19" s="91">
        <f t="shared" si="1"/>
        <v>28720109.41</v>
      </c>
    </row>
    <row r="20" spans="2:11" x14ac:dyDescent="0.2">
      <c r="B20" s="101">
        <v>8</v>
      </c>
      <c r="C20" s="132">
        <f t="shared" si="0"/>
        <v>34</v>
      </c>
      <c r="D20" s="379" t="s">
        <v>291</v>
      </c>
      <c r="E20" s="149" t="s">
        <v>182</v>
      </c>
      <c r="F20" s="390" t="s">
        <v>35</v>
      </c>
      <c r="G20" s="92">
        <v>10433075</v>
      </c>
      <c r="H20" s="92">
        <v>-2155514.77</v>
      </c>
      <c r="I20" s="91">
        <f t="shared" si="1"/>
        <v>8277560.2300000004</v>
      </c>
    </row>
    <row r="21" spans="2:11" x14ac:dyDescent="0.2">
      <c r="B21" s="101">
        <v>9</v>
      </c>
      <c r="C21" s="132">
        <f t="shared" si="0"/>
        <v>34</v>
      </c>
      <c r="D21" s="379" t="s">
        <v>291</v>
      </c>
      <c r="E21" s="149" t="s">
        <v>182</v>
      </c>
      <c r="F21" s="390" t="s">
        <v>37</v>
      </c>
      <c r="G21" s="92">
        <v>1065638</v>
      </c>
      <c r="H21" s="92">
        <v>318384.19</v>
      </c>
      <c r="I21" s="91">
        <f t="shared" si="1"/>
        <v>1384022.19</v>
      </c>
    </row>
    <row r="22" spans="2:11" x14ac:dyDescent="0.2">
      <c r="B22" s="101">
        <v>10</v>
      </c>
      <c r="C22" s="132">
        <f t="shared" si="0"/>
        <v>34</v>
      </c>
      <c r="D22" s="379" t="s">
        <v>291</v>
      </c>
      <c r="E22" s="149" t="s">
        <v>182</v>
      </c>
      <c r="F22" s="390" t="s">
        <v>36</v>
      </c>
      <c r="G22" s="92">
        <v>183820</v>
      </c>
      <c r="H22" s="92">
        <v>7246.78</v>
      </c>
      <c r="I22" s="91">
        <f t="shared" si="1"/>
        <v>191066.78</v>
      </c>
    </row>
    <row r="23" spans="2:11" x14ac:dyDescent="0.2">
      <c r="B23" s="101">
        <v>11</v>
      </c>
      <c r="C23" s="132">
        <f t="shared" si="0"/>
        <v>34</v>
      </c>
      <c r="D23" s="379" t="s">
        <v>291</v>
      </c>
      <c r="E23" s="149" t="s">
        <v>182</v>
      </c>
      <c r="F23" s="390" t="s">
        <v>38</v>
      </c>
      <c r="G23" s="92">
        <v>3109815</v>
      </c>
      <c r="H23" s="92">
        <v>-5274.4</v>
      </c>
      <c r="I23" s="91">
        <f t="shared" si="1"/>
        <v>3104540.6</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fVJ9f2Zr/YbKePLXDkfM5u6f+ERLA3KiTDr23V89fIjP/RkAKlTfvn5IfQvbydaEq/O9W/KLzAzPHt4Lk1gi0w==" saltValue="GrNj5w0cPXjBhHNOB3gJFA=="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 CFTN"</formula1>
    </dataValidation>
  </dataValidations>
  <pageMargins left="0.25" right="0.25" top="0.98" bottom="0.75" header="0.3" footer="0.3"/>
  <pageSetup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18" sqref="C18"/>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t="s">
        <v>342</v>
      </c>
    </row>
    <row r="9" spans="1:28" ht="33.75" customHeight="1" x14ac:dyDescent="0.2">
      <c r="B9" s="249">
        <v>2</v>
      </c>
      <c r="C9" s="253" t="s">
        <v>342</v>
      </c>
    </row>
    <row r="10" spans="1:28" ht="33.75" customHeight="1" x14ac:dyDescent="0.2">
      <c r="B10" s="249">
        <v>3</v>
      </c>
      <c r="C10" s="253" t="s">
        <v>343</v>
      </c>
    </row>
    <row r="11" spans="1:28" ht="33.75" customHeight="1" x14ac:dyDescent="0.2">
      <c r="B11" s="248">
        <v>4</v>
      </c>
      <c r="C11" s="253" t="s">
        <v>343</v>
      </c>
    </row>
    <row r="12" spans="1:28" ht="33.75" customHeight="1" x14ac:dyDescent="0.2">
      <c r="B12" s="249">
        <v>5</v>
      </c>
      <c r="C12" s="253" t="s">
        <v>344</v>
      </c>
    </row>
    <row r="13" spans="1:28" ht="33.75" customHeight="1" x14ac:dyDescent="0.2">
      <c r="B13" s="249">
        <v>6</v>
      </c>
      <c r="C13" s="253" t="s">
        <v>344</v>
      </c>
      <c r="N13" s="278"/>
    </row>
    <row r="14" spans="1:28" ht="33.75" customHeight="1" x14ac:dyDescent="0.2">
      <c r="B14" s="248">
        <v>7</v>
      </c>
      <c r="C14" s="253" t="s">
        <v>345</v>
      </c>
    </row>
    <row r="15" spans="1:28" ht="33.75" customHeight="1" x14ac:dyDescent="0.2">
      <c r="B15" s="249">
        <v>8</v>
      </c>
      <c r="C15" s="253" t="s">
        <v>345</v>
      </c>
    </row>
    <row r="16" spans="1:28" ht="33.75" customHeight="1" x14ac:dyDescent="0.2">
      <c r="B16" s="249">
        <v>9</v>
      </c>
      <c r="C16" s="253" t="s">
        <v>345</v>
      </c>
    </row>
    <row r="17" spans="2:3" ht="33.75" customHeight="1" x14ac:dyDescent="0.2">
      <c r="B17" s="248">
        <v>10</v>
      </c>
      <c r="C17" s="253" t="s">
        <v>345</v>
      </c>
    </row>
    <row r="18" spans="2:3" ht="33.75" customHeight="1" x14ac:dyDescent="0.2">
      <c r="B18" s="249">
        <v>11</v>
      </c>
      <c r="C18" s="253" t="s">
        <v>345</v>
      </c>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5" t="s">
        <v>169</v>
      </c>
      <c r="B1" s="466"/>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8" t="s">
        <v>198</v>
      </c>
      <c r="B2" s="468"/>
      <c r="C2" s="468"/>
      <c r="D2" s="468"/>
      <c r="E2" s="468"/>
    </row>
    <row r="3" spans="1:7" ht="14.25" customHeight="1" x14ac:dyDescent="0.25">
      <c r="A3" s="468" t="s">
        <v>307</v>
      </c>
      <c r="B3" s="468"/>
      <c r="C3" s="468"/>
      <c r="D3" s="468"/>
      <c r="E3" s="468"/>
    </row>
    <row r="4" spans="1:7" ht="14.25" customHeight="1" thickBot="1" x14ac:dyDescent="0.3">
      <c r="A4" s="173"/>
      <c r="B4" s="174"/>
      <c r="C4" s="175"/>
      <c r="D4" s="176"/>
    </row>
    <row r="5" spans="1:7" ht="14.25" customHeight="1" x14ac:dyDescent="0.25">
      <c r="A5" s="177" t="s">
        <v>199</v>
      </c>
      <c r="B5" s="467" t="s">
        <v>200</v>
      </c>
      <c r="C5" s="467"/>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6" t="s">
        <v>280</v>
      </c>
      <c r="C7" s="424"/>
      <c r="F7" s="224"/>
    </row>
    <row r="8" spans="1:7" ht="55.5" customHeight="1" x14ac:dyDescent="0.2">
      <c r="B8" s="427" t="s">
        <v>281</v>
      </c>
      <c r="C8" s="428"/>
      <c r="F8" s="222"/>
      <c r="G8" s="224"/>
    </row>
    <row r="9" spans="1:7" ht="39.950000000000003" customHeight="1" x14ac:dyDescent="0.2">
      <c r="B9" s="427" t="s">
        <v>279</v>
      </c>
      <c r="C9" s="428"/>
      <c r="E9" s="222"/>
      <c r="F9" s="223"/>
    </row>
    <row r="10" spans="1:7" ht="39.950000000000003" customHeight="1" x14ac:dyDescent="0.2">
      <c r="B10" s="428" t="s">
        <v>264</v>
      </c>
      <c r="C10" s="428"/>
      <c r="D10" s="221"/>
    </row>
    <row r="11" spans="1:7" x14ac:dyDescent="0.2"/>
    <row r="12" spans="1:7" ht="29.25" customHeight="1" x14ac:dyDescent="0.2">
      <c r="B12" s="424" t="s">
        <v>266</v>
      </c>
      <c r="C12" s="425" t="s">
        <v>272</v>
      </c>
    </row>
    <row r="13" spans="1:7" ht="18" customHeight="1" x14ac:dyDescent="0.2">
      <c r="B13" s="424"/>
      <c r="C13" s="424"/>
    </row>
    <row r="14" spans="1:7" ht="60.75" customHeight="1" x14ac:dyDescent="0.2">
      <c r="B14" s="421" t="s">
        <v>267</v>
      </c>
      <c r="C14" s="381" t="s">
        <v>311</v>
      </c>
    </row>
    <row r="15" spans="1:7" ht="68.25" customHeight="1" x14ac:dyDescent="0.2">
      <c r="B15" s="422"/>
      <c r="C15" s="382" t="s">
        <v>321</v>
      </c>
    </row>
    <row r="16" spans="1:7" ht="66" customHeight="1" x14ac:dyDescent="0.2">
      <c r="B16" s="423"/>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18" sqref="D1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43435</v>
      </c>
    </row>
    <row r="8" spans="1:5" ht="34.5" customHeight="1" x14ac:dyDescent="0.2">
      <c r="A8" s="99"/>
      <c r="B8" s="130">
        <v>2</v>
      </c>
      <c r="C8" s="102" t="s">
        <v>1</v>
      </c>
      <c r="D8" s="365" t="s">
        <v>76</v>
      </c>
    </row>
    <row r="9" spans="1:5" ht="34.5" customHeight="1" x14ac:dyDescent="0.2">
      <c r="A9" s="99"/>
      <c r="B9" s="130">
        <v>3</v>
      </c>
      <c r="C9" s="103" t="s">
        <v>125</v>
      </c>
      <c r="D9" s="104">
        <f>IF(ISBLANK(D8),"",VLOOKUP(D8,Info_County_Code,2))</f>
        <v>34</v>
      </c>
    </row>
    <row r="10" spans="1:5" ht="34.5" customHeight="1" x14ac:dyDescent="0.2">
      <c r="A10" s="99"/>
      <c r="B10" s="130">
        <v>4</v>
      </c>
      <c r="C10" s="102" t="s">
        <v>126</v>
      </c>
      <c r="D10" s="418" t="s">
        <v>322</v>
      </c>
    </row>
    <row r="11" spans="1:5" ht="34.5" customHeight="1" x14ac:dyDescent="0.2">
      <c r="A11" s="99"/>
      <c r="B11" s="130">
        <v>5</v>
      </c>
      <c r="C11" s="102" t="s">
        <v>127</v>
      </c>
      <c r="D11" s="365" t="s">
        <v>76</v>
      </c>
    </row>
    <row r="12" spans="1:5" ht="34.5" customHeight="1" x14ac:dyDescent="0.2">
      <c r="A12" s="99"/>
      <c r="B12" s="130">
        <v>6</v>
      </c>
      <c r="C12" s="102" t="s">
        <v>128</v>
      </c>
      <c r="D12" s="244">
        <v>95823</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323</v>
      </c>
    </row>
    <row r="15" spans="1:5" ht="34.5" customHeight="1" x14ac:dyDescent="0.2">
      <c r="A15" s="99"/>
      <c r="B15" s="130">
        <v>9</v>
      </c>
      <c r="C15" s="383" t="s">
        <v>193</v>
      </c>
      <c r="D15" s="419" t="s">
        <v>324</v>
      </c>
    </row>
    <row r="16" spans="1:5" ht="34.5" customHeight="1" x14ac:dyDescent="0.2">
      <c r="A16" s="99"/>
      <c r="B16" s="130">
        <v>10</v>
      </c>
      <c r="C16" s="383" t="s">
        <v>211</v>
      </c>
      <c r="D16" s="419" t="s">
        <v>325</v>
      </c>
    </row>
    <row r="17" spans="1:4" ht="34.5" customHeight="1" x14ac:dyDescent="0.2">
      <c r="A17" s="99"/>
      <c r="B17" s="130">
        <v>11</v>
      </c>
      <c r="C17" s="102" t="s">
        <v>194</v>
      </c>
      <c r="D17" s="420" t="s">
        <v>326</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71" zoomScaleNormal="71" zoomScaleSheetLayoutView="40" workbookViewId="0">
      <pane xSplit="3" ySplit="20" topLeftCell="D30" activePane="bottomRight" state="frozen"/>
      <selection pane="topRight" activeCell="D1" sqref="D1"/>
      <selection pane="bottomLeft" activeCell="A16" sqref="A16"/>
      <selection pane="bottomRight" activeCell="E39" sqref="E39"/>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Sacramento</v>
      </c>
      <c r="F7" s="360" t="s">
        <v>2</v>
      </c>
      <c r="G7" s="259">
        <f>IF(ISBLANK('1. Information'!D7),"",'1. Information'!D7)</f>
        <v>43435</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f>939059.8+234764.95+61780.25+1342367</f>
        <v>2577972</v>
      </c>
      <c r="E15" s="260"/>
      <c r="F15" s="260"/>
      <c r="G15" s="90"/>
      <c r="H15" s="260"/>
      <c r="I15" s="260"/>
      <c r="J15" s="260"/>
      <c r="K15" s="260"/>
      <c r="L15" s="260"/>
      <c r="M15" s="260"/>
      <c r="N15" s="260"/>
    </row>
    <row r="16" spans="2:14" x14ac:dyDescent="0.25">
      <c r="B16" s="24">
        <v>2</v>
      </c>
      <c r="C16" s="332" t="s">
        <v>306</v>
      </c>
      <c r="D16" s="394">
        <v>19391847</v>
      </c>
      <c r="E16" s="260"/>
      <c r="F16" s="260"/>
      <c r="G16" s="90"/>
      <c r="H16" s="260"/>
      <c r="I16" s="260"/>
      <c r="J16" s="260"/>
      <c r="K16" s="260"/>
      <c r="L16" s="260"/>
      <c r="M16" s="260"/>
      <c r="N16" s="260"/>
    </row>
    <row r="17" spans="2:14" x14ac:dyDescent="0.25">
      <c r="B17" s="24">
        <v>3</v>
      </c>
      <c r="C17" s="332" t="s">
        <v>312</v>
      </c>
      <c r="D17" s="91">
        <f>D16+M22+M27+SUM('9. Adjustment (MHSA)'!F83:F112)</f>
        <v>19391847</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1959258.72</v>
      </c>
      <c r="E23" s="380">
        <f>D15*0.19</f>
        <v>489814.68</v>
      </c>
      <c r="F23" s="261">
        <f>D15*0.05</f>
        <v>128898.6</v>
      </c>
      <c r="G23" s="327"/>
      <c r="H23" s="327"/>
      <c r="I23" s="327"/>
      <c r="J23" s="334"/>
      <c r="K23" s="327"/>
      <c r="L23" s="327"/>
      <c r="M23" s="327"/>
      <c r="N23" s="333">
        <f>SUM(D23:M23)</f>
        <v>2577972</v>
      </c>
    </row>
    <row r="24" spans="2:14" ht="24" customHeight="1" x14ac:dyDescent="0.25">
      <c r="B24" s="24">
        <v>6</v>
      </c>
      <c r="C24" s="266" t="s">
        <v>25</v>
      </c>
      <c r="D24" s="339">
        <f t="shared" ref="D24:L24" si="0">SUM(D22:D23)</f>
        <v>1959258.72</v>
      </c>
      <c r="E24" s="339">
        <f t="shared" si="0"/>
        <v>489814.68</v>
      </c>
      <c r="F24" s="339">
        <f t="shared" si="0"/>
        <v>128898.6</v>
      </c>
      <c r="G24" s="339">
        <f t="shared" si="0"/>
        <v>0</v>
      </c>
      <c r="H24" s="339">
        <f t="shared" si="0"/>
        <v>0</v>
      </c>
      <c r="I24" s="339">
        <f t="shared" si="0"/>
        <v>0</v>
      </c>
      <c r="J24" s="339">
        <f t="shared" si="0"/>
        <v>0</v>
      </c>
      <c r="K24" s="339">
        <f t="shared" si="0"/>
        <v>0</v>
      </c>
      <c r="L24" s="339">
        <f t="shared" si="0"/>
        <v>0</v>
      </c>
      <c r="M24" s="339">
        <v>0</v>
      </c>
      <c r="N24" s="371">
        <f>SUM(D24:M24)</f>
        <v>2577972</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-3582875</v>
      </c>
      <c r="E27" s="334"/>
      <c r="F27" s="334"/>
      <c r="G27" s="264">
        <f>'3. CSS'!F20</f>
        <v>283044</v>
      </c>
      <c r="H27" s="264">
        <f>'3. CSS'!F21</f>
        <v>3299831</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30046851.899999999</v>
      </c>
      <c r="E30" s="264">
        <f>'4. PEI'!F21</f>
        <v>8252342.5299999993</v>
      </c>
      <c r="F30" s="264">
        <f>'5. INN'!F22</f>
        <v>2055712.4900000002</v>
      </c>
      <c r="G30" s="264">
        <f>'6. WET'!F20</f>
        <v>1030663.6099999999</v>
      </c>
      <c r="H30" s="264">
        <f>'7. CFTN'!F21</f>
        <v>3946130.95</v>
      </c>
      <c r="I30" s="334"/>
      <c r="J30" s="264">
        <f>'8. WET RP, HP'!E14</f>
        <v>0</v>
      </c>
      <c r="K30" s="264">
        <f>'4. PEI'!F17</f>
        <v>0</v>
      </c>
      <c r="L30" s="264">
        <f>'8. WET RP, HP'!E15</f>
        <v>0</v>
      </c>
      <c r="M30" s="334"/>
      <c r="N30" s="264">
        <f t="shared" ref="N30:N35" si="1">SUM(D30:M30)</f>
        <v>45331701.480000004</v>
      </c>
    </row>
    <row r="31" spans="2:14" ht="24" customHeight="1" x14ac:dyDescent="0.25">
      <c r="B31" s="24">
        <v>9</v>
      </c>
      <c r="C31" s="262" t="s">
        <v>5</v>
      </c>
      <c r="D31" s="261">
        <f>'3. CSS'!G25</f>
        <v>21103470.309999999</v>
      </c>
      <c r="E31" s="261">
        <f>'4. PEI'!G21</f>
        <v>0</v>
      </c>
      <c r="F31" s="261">
        <f>'5. INN'!G22</f>
        <v>0</v>
      </c>
      <c r="G31" s="261">
        <f>'6. WET'!G20</f>
        <v>0</v>
      </c>
      <c r="H31" s="261">
        <f>'7. CFTN'!G21</f>
        <v>0</v>
      </c>
      <c r="I31" s="7"/>
      <c r="J31" s="261">
        <f>'8. WET RP, HP'!F14</f>
        <v>0</v>
      </c>
      <c r="K31" s="261">
        <f>'4. PEI'!G17</f>
        <v>0</v>
      </c>
      <c r="L31" s="261">
        <f>'8. WET RP, HP'!F15</f>
        <v>0</v>
      </c>
      <c r="M31" s="327"/>
      <c r="N31" s="264">
        <f t="shared" si="1"/>
        <v>21103470.309999999</v>
      </c>
    </row>
    <row r="32" spans="2:14" ht="24" customHeight="1" x14ac:dyDescent="0.25">
      <c r="B32" s="24">
        <v>10</v>
      </c>
      <c r="C32" s="262" t="s">
        <v>6</v>
      </c>
      <c r="D32" s="261">
        <f>'3. CSS'!H25</f>
        <v>3413994.89</v>
      </c>
      <c r="E32" s="261">
        <f>'4. PEI'!H21</f>
        <v>0</v>
      </c>
      <c r="F32" s="261">
        <f>'5. INN'!H22</f>
        <v>0</v>
      </c>
      <c r="G32" s="261">
        <f>'6. WET'!H20</f>
        <v>0</v>
      </c>
      <c r="H32" s="261">
        <f>'7. CFTN'!H21</f>
        <v>0</v>
      </c>
      <c r="I32" s="7"/>
      <c r="J32" s="261">
        <f>'8. WET RP, HP'!G14</f>
        <v>0</v>
      </c>
      <c r="K32" s="261">
        <f>'4. PEI'!H17</f>
        <v>0</v>
      </c>
      <c r="L32" s="261">
        <f>'8. WET RP, HP'!G15</f>
        <v>0</v>
      </c>
      <c r="M32" s="327"/>
      <c r="N32" s="264">
        <f t="shared" si="1"/>
        <v>3413994.89</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3104515.31</v>
      </c>
      <c r="E34" s="261">
        <f>'4. PEI'!J21</f>
        <v>0</v>
      </c>
      <c r="F34" s="261">
        <f>'5. INN'!J22</f>
        <v>0</v>
      </c>
      <c r="G34" s="261">
        <f>'6. WET'!J20</f>
        <v>0</v>
      </c>
      <c r="H34" s="261">
        <f>'7. CFTN'!J21</f>
        <v>0</v>
      </c>
      <c r="I34" s="7"/>
      <c r="J34" s="261">
        <f>'8. WET RP, HP'!I14</f>
        <v>0</v>
      </c>
      <c r="K34" s="261">
        <f>'4. PEI'!J17</f>
        <v>0</v>
      </c>
      <c r="L34" s="261">
        <f>'8. WET RP, HP'!I15</f>
        <v>0</v>
      </c>
      <c r="M34" s="327"/>
      <c r="N34" s="264">
        <f t="shared" si="1"/>
        <v>3104515.31</v>
      </c>
    </row>
    <row r="35" spans="2:14" ht="24" customHeight="1" x14ac:dyDescent="0.25">
      <c r="B35" s="24">
        <v>13</v>
      </c>
      <c r="C35" s="266" t="s">
        <v>25</v>
      </c>
      <c r="D35" s="267">
        <f>SUM(D30:D34)</f>
        <v>57668832.409999996</v>
      </c>
      <c r="E35" s="267">
        <f t="shared" ref="E35:L35" si="2">SUM(E30:E34)</f>
        <v>8252342.5299999993</v>
      </c>
      <c r="F35" s="267">
        <f t="shared" si="2"/>
        <v>2055712.4900000002</v>
      </c>
      <c r="G35" s="267">
        <f t="shared" si="2"/>
        <v>1030663.6099999999</v>
      </c>
      <c r="H35" s="267">
        <f t="shared" si="2"/>
        <v>3946130.95</v>
      </c>
      <c r="I35" s="267">
        <f t="shared" si="2"/>
        <v>0</v>
      </c>
      <c r="J35" s="267">
        <f t="shared" si="2"/>
        <v>0</v>
      </c>
      <c r="K35" s="267">
        <f t="shared" si="2"/>
        <v>0</v>
      </c>
      <c r="L35" s="267">
        <f t="shared" si="2"/>
        <v>0</v>
      </c>
      <c r="M35" s="7"/>
      <c r="N35" s="339">
        <f t="shared" si="1"/>
        <v>72953681.989999995</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1141390.6600000001</v>
      </c>
      <c r="E40" s="263"/>
      <c r="F40" s="260"/>
      <c r="G40" s="260"/>
      <c r="H40" s="260"/>
      <c r="I40" s="260"/>
      <c r="J40" s="260"/>
      <c r="K40" s="260"/>
      <c r="L40" s="260"/>
      <c r="M40" s="260"/>
      <c r="N40" s="347"/>
    </row>
    <row r="41" spans="2:14" x14ac:dyDescent="0.25">
      <c r="B41" s="24">
        <v>16</v>
      </c>
      <c r="C41" s="358" t="s">
        <v>24</v>
      </c>
      <c r="D41" s="366">
        <f>'3. CSS'!K16+'4. PEI'!K16+'5. INN'!K15+'5. INN'!K18+'6. WET'!K16+'7. CFTN'!K18+'7. CFTN'!K19</f>
        <v>3581784.86</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A7" zoomScale="70" zoomScaleNormal="70" zoomScaleSheetLayoutView="40" zoomScalePageLayoutView="70" workbookViewId="0">
      <selection activeCell="F21" sqref="F21"/>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29"/>
      <c r="C1" s="429"/>
      <c r="D1" s="429"/>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0" t="s">
        <v>1</v>
      </c>
      <c r="C7" s="430"/>
      <c r="D7" s="9" t="str">
        <f>IF(ISBLANK('1. Information'!D8),"",'1. Information'!D8)</f>
        <v>Sacramento</v>
      </c>
      <c r="E7" s="281"/>
      <c r="F7" s="279" t="s">
        <v>2</v>
      </c>
      <c r="G7" s="282">
        <f>IF(ISBLANK('1. Information'!D7),"",'1. Information'!D7)</f>
        <v>43435</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0" t="s">
        <v>30</v>
      </c>
      <c r="H12" s="438"/>
      <c r="I12" s="438"/>
      <c r="J12" s="441"/>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1" t="s">
        <v>7</v>
      </c>
      <c r="D14" s="431"/>
      <c r="E14" s="431"/>
      <c r="F14" s="367"/>
      <c r="G14" s="368"/>
      <c r="H14" s="353"/>
      <c r="I14" s="290"/>
      <c r="J14" s="290"/>
      <c r="K14" s="292">
        <f>SUM(F14:J14)</f>
        <v>0</v>
      </c>
      <c r="L14"/>
    </row>
    <row r="15" spans="1:12" ht="15" customHeight="1" x14ac:dyDescent="0.25">
      <c r="A15" s="281"/>
      <c r="B15" s="277">
        <v>2</v>
      </c>
      <c r="C15" s="431" t="s">
        <v>8</v>
      </c>
      <c r="D15" s="431"/>
      <c r="E15" s="431"/>
      <c r="F15" s="367">
        <v>569960.74</v>
      </c>
      <c r="G15" s="290"/>
      <c r="H15" s="290"/>
      <c r="I15" s="290"/>
      <c r="J15" s="290"/>
      <c r="K15" s="292">
        <f t="shared" ref="K15:K23" si="0">SUM(F15:J15)</f>
        <v>569960.74</v>
      </c>
      <c r="L15"/>
    </row>
    <row r="16" spans="1:12" x14ac:dyDescent="0.25">
      <c r="A16" s="281"/>
      <c r="B16" s="277">
        <v>3</v>
      </c>
      <c r="C16" s="431" t="s">
        <v>129</v>
      </c>
      <c r="D16" s="431"/>
      <c r="E16" s="431"/>
      <c r="F16" s="367">
        <v>3364151.98</v>
      </c>
      <c r="G16" s="290"/>
      <c r="H16" s="290"/>
      <c r="I16" s="290"/>
      <c r="J16" s="290"/>
      <c r="K16" s="292">
        <f t="shared" si="0"/>
        <v>3364151.98</v>
      </c>
      <c r="L16"/>
    </row>
    <row r="17" spans="1:12" x14ac:dyDescent="0.25">
      <c r="A17" s="281"/>
      <c r="B17" s="277">
        <v>4</v>
      </c>
      <c r="C17" s="445" t="s">
        <v>218</v>
      </c>
      <c r="D17" s="445"/>
      <c r="E17" s="445"/>
      <c r="F17" s="367"/>
      <c r="G17" s="290"/>
      <c r="H17" s="290"/>
      <c r="I17" s="290"/>
      <c r="J17" s="290"/>
      <c r="K17" s="292">
        <f t="shared" si="0"/>
        <v>0</v>
      </c>
      <c r="L17"/>
    </row>
    <row r="18" spans="1:12" x14ac:dyDescent="0.25">
      <c r="A18" s="281"/>
      <c r="B18" s="277">
        <v>5</v>
      </c>
      <c r="C18" s="445" t="s">
        <v>219</v>
      </c>
      <c r="D18" s="445"/>
      <c r="E18" s="445"/>
      <c r="F18" s="367"/>
      <c r="G18" s="294"/>
      <c r="H18" s="294"/>
      <c r="I18" s="294"/>
      <c r="J18" s="294"/>
      <c r="K18" s="292">
        <f t="shared" si="0"/>
        <v>0</v>
      </c>
      <c r="L18"/>
    </row>
    <row r="19" spans="1:12" x14ac:dyDescent="0.25">
      <c r="A19" s="281"/>
      <c r="B19" s="277">
        <v>6</v>
      </c>
      <c r="C19" s="431" t="s">
        <v>216</v>
      </c>
      <c r="D19" s="431"/>
      <c r="E19" s="431"/>
      <c r="F19" s="290">
        <v>5000000</v>
      </c>
      <c r="G19" s="294"/>
      <c r="H19" s="294"/>
      <c r="I19" s="294"/>
      <c r="J19" s="294"/>
      <c r="K19" s="293">
        <f t="shared" si="0"/>
        <v>5000000</v>
      </c>
      <c r="L19"/>
    </row>
    <row r="20" spans="1:12" x14ac:dyDescent="0.25">
      <c r="A20" s="283"/>
      <c r="B20" s="256">
        <v>7</v>
      </c>
      <c r="C20" s="442" t="s">
        <v>226</v>
      </c>
      <c r="D20" s="443"/>
      <c r="E20" s="444"/>
      <c r="F20" s="290">
        <v>283044</v>
      </c>
      <c r="G20" s="293"/>
      <c r="H20" s="293"/>
      <c r="I20" s="293"/>
      <c r="J20" s="293"/>
      <c r="K20" s="293">
        <f t="shared" si="0"/>
        <v>283044</v>
      </c>
      <c r="L20"/>
    </row>
    <row r="21" spans="1:12" x14ac:dyDescent="0.25">
      <c r="A21" s="283"/>
      <c r="B21" s="256">
        <v>8</v>
      </c>
      <c r="C21" s="442" t="s">
        <v>227</v>
      </c>
      <c r="D21" s="443"/>
      <c r="E21" s="444"/>
      <c r="F21" s="290">
        <f>3049831+250000</f>
        <v>3299831</v>
      </c>
      <c r="G21" s="293"/>
      <c r="H21" s="293"/>
      <c r="I21" s="293"/>
      <c r="J21" s="293"/>
      <c r="K21" s="293">
        <f t="shared" si="0"/>
        <v>3299831</v>
      </c>
      <c r="L21"/>
    </row>
    <row r="22" spans="1:12" x14ac:dyDescent="0.25">
      <c r="A22" s="283"/>
      <c r="B22" s="256">
        <v>9</v>
      </c>
      <c r="C22" s="442" t="s">
        <v>225</v>
      </c>
      <c r="D22" s="443"/>
      <c r="E22" s="444"/>
      <c r="F22" s="290"/>
      <c r="G22" s="293"/>
      <c r="H22" s="293"/>
      <c r="I22" s="293"/>
      <c r="J22" s="293"/>
      <c r="K22" s="293">
        <f t="shared" si="0"/>
        <v>0</v>
      </c>
      <c r="L22"/>
    </row>
    <row r="23" spans="1:12" x14ac:dyDescent="0.25">
      <c r="A23" s="281"/>
      <c r="B23" s="277">
        <v>10</v>
      </c>
      <c r="C23" s="431" t="s">
        <v>140</v>
      </c>
      <c r="D23" s="431"/>
      <c r="E23" s="431"/>
      <c r="F23" s="294">
        <f>SUM(G33:G132)</f>
        <v>26112739.18</v>
      </c>
      <c r="G23" s="293">
        <f>SUM(H33:H132)</f>
        <v>21103470.309999999</v>
      </c>
      <c r="H23" s="293">
        <f>SUM(I33:I132)</f>
        <v>3413994.89</v>
      </c>
      <c r="I23" s="293">
        <f>SUM(J33:J132)</f>
        <v>0</v>
      </c>
      <c r="J23" s="293">
        <f>SUM(K33:K132)</f>
        <v>3104515.31</v>
      </c>
      <c r="K23" s="293">
        <f t="shared" si="0"/>
        <v>53734719.689999998</v>
      </c>
      <c r="L23"/>
    </row>
    <row r="24" spans="1:12" ht="30.95" customHeight="1" x14ac:dyDescent="0.25">
      <c r="A24" s="281"/>
      <c r="B24" s="277">
        <v>11</v>
      </c>
      <c r="C24" s="432" t="s">
        <v>223</v>
      </c>
      <c r="D24" s="433"/>
      <c r="E24" s="434"/>
      <c r="F24" s="7">
        <f>SUM(F14:F16,F18:F23)</f>
        <v>38629726.899999999</v>
      </c>
      <c r="G24" s="7">
        <f>SUM(G14:G16,G18:G23)</f>
        <v>21103470.309999999</v>
      </c>
      <c r="H24" s="43">
        <f t="shared" ref="H24:J24" si="1">SUM(H14:H16,H18:H23)</f>
        <v>3413994.89</v>
      </c>
      <c r="I24" s="7">
        <f t="shared" si="1"/>
        <v>0</v>
      </c>
      <c r="J24" s="7">
        <f t="shared" si="1"/>
        <v>3104515.31</v>
      </c>
      <c r="K24" s="7">
        <f>SUM(K14:K16,K18:K23)</f>
        <v>66251707.409999996</v>
      </c>
      <c r="L24"/>
    </row>
    <row r="25" spans="1:12" s="325" customFormat="1" ht="30.95" customHeight="1" x14ac:dyDescent="0.25">
      <c r="A25" s="281"/>
      <c r="B25" s="277">
        <v>12</v>
      </c>
      <c r="C25" s="439" t="s">
        <v>283</v>
      </c>
      <c r="D25" s="439"/>
      <c r="E25" s="439"/>
      <c r="F25" s="7">
        <f>SUM(F14:F16,F18,F23)</f>
        <v>30046851.899999999</v>
      </c>
      <c r="G25" s="299">
        <f t="shared" ref="G25:J25" si="2">SUM(G14:G16,G18,G23)</f>
        <v>21103470.309999999</v>
      </c>
      <c r="H25" s="299">
        <f t="shared" si="2"/>
        <v>3413994.89</v>
      </c>
      <c r="I25" s="299">
        <f t="shared" si="2"/>
        <v>0</v>
      </c>
      <c r="J25" s="7">
        <f t="shared" si="2"/>
        <v>3104515.31</v>
      </c>
      <c r="K25" s="7">
        <f>SUM(K14:K16,K18,K23)</f>
        <v>57668832.409999996</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8" t="s">
        <v>166</v>
      </c>
      <c r="E31" s="438"/>
      <c r="F31" s="438"/>
      <c r="G31" s="344" t="s">
        <v>28</v>
      </c>
      <c r="H31" s="435" t="s">
        <v>30</v>
      </c>
      <c r="I31" s="436"/>
      <c r="J31" s="436"/>
      <c r="K31" s="437"/>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ht="30.75" x14ac:dyDescent="0.25">
      <c r="A33" s="281"/>
      <c r="B33" s="295">
        <v>1</v>
      </c>
      <c r="C33" s="296">
        <f t="shared" ref="C33:C64" si="3">IF(L33&lt;&gt;0,VLOOKUP($D$7,Info_County_Code,2,FALSE),"")</f>
        <v>34</v>
      </c>
      <c r="D33" s="395" t="s">
        <v>334</v>
      </c>
      <c r="E33" s="395"/>
      <c r="F33" s="297" t="s">
        <v>103</v>
      </c>
      <c r="G33" s="291">
        <v>5994220.2400000002</v>
      </c>
      <c r="H33" s="291">
        <v>9793153.9900000002</v>
      </c>
      <c r="I33" s="291">
        <v>3413994.89</v>
      </c>
      <c r="J33" s="318"/>
      <c r="K33" s="291">
        <f>223021.46+21750.08+23885.67+330956</f>
        <v>599613.21</v>
      </c>
      <c r="L33" s="293">
        <f>SUM(G33:K33)</f>
        <v>19800982.330000002</v>
      </c>
    </row>
    <row r="34" spans="1:12" s="359" customFormat="1" x14ac:dyDescent="0.25">
      <c r="A34" s="281"/>
      <c r="B34" s="295">
        <v>2</v>
      </c>
      <c r="C34" s="296">
        <f t="shared" si="3"/>
        <v>34</v>
      </c>
      <c r="D34" s="395" t="s">
        <v>341</v>
      </c>
      <c r="E34" s="395"/>
      <c r="F34" s="297" t="s">
        <v>102</v>
      </c>
      <c r="G34" s="291">
        <v>919150.73</v>
      </c>
      <c r="H34" s="291">
        <v>1046363.37</v>
      </c>
      <c r="I34" s="291"/>
      <c r="J34" s="318"/>
      <c r="K34" s="291">
        <v>50971.07</v>
      </c>
      <c r="L34" s="293">
        <f t="shared" ref="L34:L97" si="4">SUM(G34:K34)</f>
        <v>2016485.1700000002</v>
      </c>
    </row>
    <row r="35" spans="1:12" s="359" customFormat="1" x14ac:dyDescent="0.25">
      <c r="A35" s="281"/>
      <c r="B35" s="295">
        <v>3</v>
      </c>
      <c r="C35" s="296">
        <f t="shared" si="3"/>
        <v>34</v>
      </c>
      <c r="D35" s="395" t="s">
        <v>333</v>
      </c>
      <c r="E35" s="395"/>
      <c r="F35" s="297" t="s">
        <v>102</v>
      </c>
      <c r="G35" s="291">
        <v>4968770.21</v>
      </c>
      <c r="H35" s="291">
        <v>4255449.45</v>
      </c>
      <c r="I35" s="291"/>
      <c r="J35" s="318"/>
      <c r="K35" s="291">
        <v>1009339.15</v>
      </c>
      <c r="L35" s="293">
        <f t="shared" si="4"/>
        <v>10233558.810000001</v>
      </c>
    </row>
    <row r="36" spans="1:12" s="359" customFormat="1" x14ac:dyDescent="0.25">
      <c r="A36" s="281"/>
      <c r="B36" s="295">
        <v>4</v>
      </c>
      <c r="C36" s="296">
        <f t="shared" si="3"/>
        <v>34</v>
      </c>
      <c r="D36" s="395" t="s">
        <v>332</v>
      </c>
      <c r="E36" s="395"/>
      <c r="F36" s="297" t="s">
        <v>102</v>
      </c>
      <c r="G36" s="291">
        <v>1135320.78</v>
      </c>
      <c r="H36" s="291">
        <v>874078.25</v>
      </c>
      <c r="I36" s="291"/>
      <c r="J36" s="318"/>
      <c r="K36" s="291">
        <v>18485.12</v>
      </c>
      <c r="L36" s="293">
        <f t="shared" si="4"/>
        <v>2027884.1500000001</v>
      </c>
    </row>
    <row r="37" spans="1:12" s="359" customFormat="1" x14ac:dyDescent="0.25">
      <c r="A37" s="281"/>
      <c r="B37" s="295">
        <v>5</v>
      </c>
      <c r="C37" s="296">
        <f t="shared" si="3"/>
        <v>34</v>
      </c>
      <c r="D37" s="395" t="s">
        <v>331</v>
      </c>
      <c r="E37" s="395"/>
      <c r="F37" s="297" t="s">
        <v>103</v>
      </c>
      <c r="G37" s="291">
        <v>4339833.05</v>
      </c>
      <c r="H37" s="291">
        <v>605672.36</v>
      </c>
      <c r="I37" s="291"/>
      <c r="J37" s="318"/>
      <c r="K37" s="291">
        <v>15398.85</v>
      </c>
      <c r="L37" s="293">
        <f t="shared" si="4"/>
        <v>4960904.26</v>
      </c>
    </row>
    <row r="38" spans="1:12" s="359" customFormat="1" x14ac:dyDescent="0.25">
      <c r="A38" s="281"/>
      <c r="B38" s="295">
        <v>6</v>
      </c>
      <c r="C38" s="296">
        <f t="shared" si="3"/>
        <v>34</v>
      </c>
      <c r="D38" s="395" t="s">
        <v>330</v>
      </c>
      <c r="E38" s="395"/>
      <c r="F38" s="297" t="s">
        <v>102</v>
      </c>
      <c r="G38" s="291">
        <v>4045959.63</v>
      </c>
      <c r="H38" s="291">
        <v>2941431</v>
      </c>
      <c r="I38" s="291"/>
      <c r="J38" s="318"/>
      <c r="K38" s="291">
        <v>27054.42</v>
      </c>
      <c r="L38" s="293">
        <f t="shared" si="4"/>
        <v>7014445.0499999998</v>
      </c>
    </row>
    <row r="39" spans="1:12" s="359" customFormat="1" ht="30.75" x14ac:dyDescent="0.25">
      <c r="A39" s="281"/>
      <c r="B39" s="295">
        <v>7</v>
      </c>
      <c r="C39" s="296">
        <f t="shared" si="3"/>
        <v>34</v>
      </c>
      <c r="D39" s="395" t="s">
        <v>329</v>
      </c>
      <c r="E39" s="395"/>
      <c r="F39" s="297" t="s">
        <v>102</v>
      </c>
      <c r="G39" s="291">
        <v>2146689.0499999998</v>
      </c>
      <c r="H39" s="291">
        <v>688217.94</v>
      </c>
      <c r="I39" s="291"/>
      <c r="J39" s="318"/>
      <c r="K39" s="291">
        <f>11731.45+2672.33</f>
        <v>14403.78</v>
      </c>
      <c r="L39" s="293">
        <f t="shared" si="4"/>
        <v>2849310.7699999996</v>
      </c>
    </row>
    <row r="40" spans="1:12" s="359" customFormat="1" x14ac:dyDescent="0.25">
      <c r="A40" s="281"/>
      <c r="B40" s="295">
        <v>8</v>
      </c>
      <c r="C40" s="296">
        <f t="shared" si="3"/>
        <v>34</v>
      </c>
      <c r="D40" s="395" t="s">
        <v>328</v>
      </c>
      <c r="E40" s="395"/>
      <c r="F40" s="297" t="s">
        <v>102</v>
      </c>
      <c r="G40" s="291">
        <v>1993222.62</v>
      </c>
      <c r="H40" s="291">
        <v>500700.83</v>
      </c>
      <c r="I40" s="291"/>
      <c r="J40" s="318"/>
      <c r="K40" s="291">
        <v>15213.55</v>
      </c>
      <c r="L40" s="293">
        <f t="shared" si="4"/>
        <v>2509137</v>
      </c>
    </row>
    <row r="41" spans="1:12" s="359" customFormat="1" x14ac:dyDescent="0.25">
      <c r="A41" s="281"/>
      <c r="B41" s="295">
        <v>9</v>
      </c>
      <c r="C41" s="296">
        <f t="shared" si="3"/>
        <v>34</v>
      </c>
      <c r="D41" s="395" t="s">
        <v>327</v>
      </c>
      <c r="E41" s="395"/>
      <c r="F41" s="297" t="s">
        <v>103</v>
      </c>
      <c r="G41" s="291">
        <v>569572.87</v>
      </c>
      <c r="H41" s="291">
        <v>398403.12</v>
      </c>
      <c r="I41" s="291"/>
      <c r="J41" s="318"/>
      <c r="K41" s="291">
        <v>1354036.16</v>
      </c>
      <c r="L41" s="293">
        <f t="shared" si="4"/>
        <v>2322012.15</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A7" zoomScale="84" zoomScaleNormal="84" zoomScaleSheetLayoutView="40" zoomScalePageLayoutView="80" workbookViewId="0">
      <selection activeCell="F20" sqref="F20"/>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0" t="s">
        <v>1</v>
      </c>
      <c r="C7" s="441"/>
      <c r="D7" s="9" t="str">
        <f>IF(ISBLANK('1. Information'!D8),"",'1. Information'!D8)</f>
        <v>Sacramento</v>
      </c>
      <c r="F7" s="94" t="s">
        <v>2</v>
      </c>
      <c r="G7" s="109">
        <f>IF(ISBLANK('1. Information'!D7),"",'1. Information'!D7)</f>
        <v>43435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0" t="s">
        <v>30</v>
      </c>
      <c r="H12" s="438"/>
      <c r="I12" s="438"/>
      <c r="J12" s="441"/>
      <c r="K12" s="303"/>
      <c r="L12"/>
      <c r="M12"/>
      <c r="N12"/>
      <c r="O12"/>
      <c r="P12"/>
      <c r="Q12"/>
      <c r="AL12" s="108"/>
      <c r="AM12" s="108"/>
      <c r="AN12" s="108"/>
    </row>
    <row r="13" spans="2:40" ht="47.25" customHeight="1" x14ac:dyDescent="0.25">
      <c r="C13" s="449"/>
      <c r="D13" s="449"/>
      <c r="E13" s="449"/>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5" t="s">
        <v>3</v>
      </c>
      <c r="D14" s="445"/>
      <c r="E14" s="442"/>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5" t="s">
        <v>133</v>
      </c>
      <c r="D15" s="445"/>
      <c r="E15" s="442"/>
      <c r="F15" s="291">
        <f>921929.92-350500</f>
        <v>571429.92000000004</v>
      </c>
      <c r="G15" s="353"/>
      <c r="H15" s="353"/>
      <c r="I15" s="353"/>
      <c r="J15" s="353"/>
      <c r="K15" s="292">
        <f t="shared" ref="K15:K20" si="0">SUM(F15:J15)</f>
        <v>571429.92000000004</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0" t="s">
        <v>149</v>
      </c>
      <c r="D16" s="450"/>
      <c r="E16" s="451"/>
      <c r="F16" s="388"/>
      <c r="G16" s="387"/>
      <c r="H16" s="387"/>
      <c r="I16" s="387"/>
      <c r="J16" s="387"/>
      <c r="K16" s="292">
        <f t="shared" si="0"/>
        <v>0</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5" t="s">
        <v>228</v>
      </c>
      <c r="D17" s="445"/>
      <c r="E17" s="442"/>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5" t="s">
        <v>215</v>
      </c>
      <c r="D18" s="445"/>
      <c r="E18" s="442"/>
      <c r="F18" s="389">
        <f>366812-16312</f>
        <v>350500</v>
      </c>
      <c r="G18" s="403"/>
      <c r="H18" s="403"/>
      <c r="I18" s="403"/>
      <c r="J18" s="403"/>
      <c r="K18" s="292">
        <f t="shared" si="0"/>
        <v>350500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5" t="s">
        <v>217</v>
      </c>
      <c r="D19" s="445"/>
      <c r="E19" s="442"/>
      <c r="F19" s="291">
        <v>69462</v>
      </c>
      <c r="G19" s="403"/>
      <c r="H19" s="403"/>
      <c r="I19" s="403"/>
      <c r="J19" s="403"/>
      <c r="K19" s="292">
        <f t="shared" si="0"/>
        <v>69462</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1" t="s">
        <v>150</v>
      </c>
      <c r="D20" s="431"/>
      <c r="E20" s="431"/>
      <c r="F20" s="315">
        <f>SUMIF($G$36:$G$135,"Combined Summary",L$36:L$135) + SUMIF($F$36:$F$135,"Standalone",L$36:L$135)</f>
        <v>7611450.6099999994</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7611450.6099999994</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5" t="s">
        <v>229</v>
      </c>
      <c r="D21" s="455"/>
      <c r="E21" s="455"/>
      <c r="F21" s="8">
        <f>SUM(F14:F16,F19:F20)</f>
        <v>8252342.5299999993</v>
      </c>
      <c r="G21" s="8">
        <f t="shared" ref="G21:K21" si="1">SUM(G14:G16,G19:G20)</f>
        <v>0</v>
      </c>
      <c r="H21" s="8">
        <f t="shared" si="1"/>
        <v>0</v>
      </c>
      <c r="I21" s="8">
        <f t="shared" si="1"/>
        <v>0</v>
      </c>
      <c r="J21" s="8">
        <f t="shared" si="1"/>
        <v>0</v>
      </c>
      <c r="K21" s="8">
        <f t="shared" si="1"/>
        <v>8252342.5299999993</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4" t="s">
        <v>234</v>
      </c>
      <c r="G26" s="452" t="s">
        <v>233</v>
      </c>
      <c r="H26" s="110"/>
      <c r="I26" s="110"/>
      <c r="J26" s="110"/>
      <c r="K26" s="110"/>
      <c r="L26" s="110"/>
      <c r="M26" s="110"/>
      <c r="N26" s="110"/>
      <c r="O26" s="110"/>
      <c r="P26" s="110"/>
      <c r="Q26" s="110"/>
    </row>
    <row r="27" spans="2:40" ht="15" customHeight="1" x14ac:dyDescent="0.25">
      <c r="B27" s="99"/>
      <c r="C27" s="99"/>
      <c r="D27" s="99"/>
      <c r="E27" s="99"/>
      <c r="F27" s="454"/>
      <c r="G27" s="452"/>
      <c r="H27" s="110"/>
      <c r="I27" s="110"/>
      <c r="J27" s="110"/>
      <c r="K27" s="110"/>
      <c r="L27" s="110"/>
      <c r="M27" s="110"/>
      <c r="N27" s="110"/>
      <c r="O27" s="110"/>
      <c r="P27" s="110"/>
      <c r="Q27" s="110"/>
    </row>
    <row r="28" spans="2:40" x14ac:dyDescent="0.25">
      <c r="B28" s="99"/>
      <c r="C28" s="99"/>
      <c r="D28" s="99"/>
      <c r="E28" s="99"/>
      <c r="F28" s="454"/>
      <c r="G28" s="453"/>
      <c r="H28" s="110"/>
      <c r="I28" s="110"/>
      <c r="J28" s="110"/>
      <c r="K28" s="110"/>
      <c r="L28" s="110"/>
      <c r="M28" s="110"/>
      <c r="N28" s="110"/>
      <c r="O28" s="110"/>
      <c r="P28" s="110"/>
      <c r="Q28" s="110"/>
    </row>
    <row r="29" spans="2:40" ht="51.75" customHeight="1" x14ac:dyDescent="0.25">
      <c r="B29" s="130">
        <v>1</v>
      </c>
      <c r="C29" s="446" t="s">
        <v>245</v>
      </c>
      <c r="D29" s="447"/>
      <c r="E29" s="448"/>
      <c r="F29" s="10">
        <f>IF(F21=0,"",((SUMPRODUCT($K$36:$K$135,$L$36:$L$135)+(F19*G29))/$F$21))</f>
        <v>0.37007285048469751</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8" t="s">
        <v>165</v>
      </c>
      <c r="E34" s="438"/>
      <c r="F34" s="438"/>
      <c r="G34" s="438"/>
      <c r="H34" s="438"/>
      <c r="I34" s="438"/>
      <c r="J34" s="438"/>
      <c r="K34" s="438"/>
      <c r="L34" s="340" t="s">
        <v>28</v>
      </c>
      <c r="M34" s="440" t="s">
        <v>30</v>
      </c>
      <c r="N34" s="438"/>
      <c r="O34" s="438"/>
      <c r="P34" s="441"/>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34</v>
      </c>
      <c r="D36" s="395" t="s">
        <v>337</v>
      </c>
      <c r="E36" s="395"/>
      <c r="F36" s="416" t="s">
        <v>143</v>
      </c>
      <c r="G36" s="417" t="s">
        <v>147</v>
      </c>
      <c r="H36" s="125"/>
      <c r="I36" s="134">
        <v>1</v>
      </c>
      <c r="J36" s="134">
        <v>0.14319999999999999</v>
      </c>
      <c r="K36" s="350">
        <f>IF(OR(G36="Combined Summary",F36="Standalone"),(SUMPRODUCT(--(D$36:D$135=D36),I$36:I$135,J$36:J$135)),"")</f>
        <v>0.14319999999999999</v>
      </c>
      <c r="L36" s="291">
        <v>3976055.6</v>
      </c>
      <c r="M36" s="352"/>
      <c r="N36" s="116"/>
      <c r="O36" s="116"/>
      <c r="P36" s="116"/>
      <c r="Q36" s="351">
        <f>SUM(L36:P36)</f>
        <v>3976055.6</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34</v>
      </c>
      <c r="D37" s="395" t="s">
        <v>338</v>
      </c>
      <c r="E37" s="395"/>
      <c r="F37" s="416" t="s">
        <v>143</v>
      </c>
      <c r="G37" s="417" t="s">
        <v>136</v>
      </c>
      <c r="H37" s="125"/>
      <c r="I37" s="134">
        <v>1</v>
      </c>
      <c r="J37" s="134">
        <v>0.96660000000000001</v>
      </c>
      <c r="K37" s="350">
        <f t="shared" ref="K37:K100" si="3">IF(OR(G37="Combined Summary",F37="Standalone"),(SUMPRODUCT(--(D$36:D$135=D37),I$36:I$135,J$36:J$135)),"")</f>
        <v>0.96660000000000001</v>
      </c>
      <c r="L37" s="291">
        <v>1780195.84</v>
      </c>
      <c r="M37" s="352"/>
      <c r="N37" s="116"/>
      <c r="O37" s="116"/>
      <c r="P37" s="116"/>
      <c r="Q37" s="351">
        <f t="shared" ref="Q37:Q100" si="4">SUM(L37:P37)</f>
        <v>1780195.84</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34</v>
      </c>
      <c r="D38" s="395" t="s">
        <v>339</v>
      </c>
      <c r="E38" s="395"/>
      <c r="F38" s="416" t="s">
        <v>143</v>
      </c>
      <c r="G38" s="417" t="s">
        <v>137</v>
      </c>
      <c r="H38" s="125"/>
      <c r="I38" s="134">
        <v>1</v>
      </c>
      <c r="J38" s="134">
        <v>0.40578999999999998</v>
      </c>
      <c r="K38" s="350">
        <f t="shared" si="3"/>
        <v>0.40578999999999998</v>
      </c>
      <c r="L38" s="291">
        <v>774083.48</v>
      </c>
      <c r="M38" s="352"/>
      <c r="N38" s="116"/>
      <c r="O38" s="116"/>
      <c r="P38" s="116"/>
      <c r="Q38" s="351">
        <f t="shared" si="4"/>
        <v>774083.48</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34</v>
      </c>
      <c r="D39" s="395" t="s">
        <v>340</v>
      </c>
      <c r="E39" s="395"/>
      <c r="F39" s="125" t="s">
        <v>143</v>
      </c>
      <c r="G39" s="107" t="s">
        <v>146</v>
      </c>
      <c r="H39" s="125"/>
      <c r="I39" s="134">
        <v>1</v>
      </c>
      <c r="J39" s="134">
        <v>0.41599999999999998</v>
      </c>
      <c r="K39" s="350">
        <f t="shared" si="3"/>
        <v>0.41599999999999998</v>
      </c>
      <c r="L39" s="291">
        <v>1081115.69</v>
      </c>
      <c r="M39" s="352"/>
      <c r="N39" s="116"/>
      <c r="O39" s="116"/>
      <c r="P39" s="116"/>
      <c r="Q39" s="351">
        <f t="shared" si="4"/>
        <v>1081115.69</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t="str">
        <f t="shared" si="2"/>
        <v/>
      </c>
      <c r="D40" s="395"/>
      <c r="E40" s="395"/>
      <c r="F40" s="125"/>
      <c r="G40" s="107"/>
      <c r="H40" s="125"/>
      <c r="I40" s="134"/>
      <c r="J40" s="134"/>
      <c r="K40" s="350" t="str">
        <f t="shared" si="3"/>
        <v/>
      </c>
      <c r="L40" s="291"/>
      <c r="M40" s="352"/>
      <c r="N40" s="116"/>
      <c r="O40" s="116"/>
      <c r="P40" s="116"/>
      <c r="Q40" s="351">
        <f t="shared" si="4"/>
        <v>0</v>
      </c>
      <c r="R40" s="409" t="str">
        <f t="shared" si="5"/>
        <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t="str">
        <f t="shared" si="2"/>
        <v/>
      </c>
      <c r="D41" s="395"/>
      <c r="E41" s="395"/>
      <c r="F41" s="125"/>
      <c r="G41" s="107"/>
      <c r="H41" s="125"/>
      <c r="I41" s="134"/>
      <c r="J41" s="134"/>
      <c r="K41" s="350" t="str">
        <f t="shared" si="3"/>
        <v/>
      </c>
      <c r="L41" s="291"/>
      <c r="M41" s="352"/>
      <c r="N41" s="116"/>
      <c r="O41" s="116"/>
      <c r="P41" s="116"/>
      <c r="Q41" s="351">
        <f t="shared" si="4"/>
        <v>0</v>
      </c>
      <c r="R41" s="409" t="str">
        <f t="shared" si="5"/>
        <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t="str">
        <f t="shared" si="2"/>
        <v/>
      </c>
      <c r="D42" s="395"/>
      <c r="E42" s="395"/>
      <c r="F42" s="125"/>
      <c r="G42" s="107"/>
      <c r="H42" s="125"/>
      <c r="I42" s="134"/>
      <c r="J42" s="134"/>
      <c r="K42" s="350" t="str">
        <f t="shared" si="3"/>
        <v/>
      </c>
      <c r="L42" s="291"/>
      <c r="M42" s="352"/>
      <c r="N42" s="116"/>
      <c r="O42" s="116"/>
      <c r="P42" s="116"/>
      <c r="Q42" s="351">
        <f t="shared" si="4"/>
        <v>0</v>
      </c>
      <c r="R42" s="409" t="str">
        <f t="shared" si="5"/>
        <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A7" zoomScale="70" zoomScaleNormal="70" zoomScaleSheetLayoutView="40" workbookViewId="0">
      <selection activeCell="D52" sqref="D52"/>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7"/>
      <c r="C1" s="457"/>
      <c r="D1" s="457"/>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0" t="s">
        <v>1</v>
      </c>
      <c r="C7" s="430"/>
      <c r="D7" s="9" t="str">
        <f>IF(ISBLANK('1. Information'!D8),"",'1. Information'!D8)</f>
        <v>Sacramento</v>
      </c>
      <c r="F7" s="94" t="s">
        <v>2</v>
      </c>
      <c r="G7" s="109">
        <f>IF(ISBLANK('1. Information'!D7),"",'1. Information'!D7)</f>
        <v>43435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8" t="s">
        <v>30</v>
      </c>
      <c r="H12" s="438"/>
      <c r="I12" s="438"/>
      <c r="J12" s="441"/>
      <c r="K12" s="308"/>
      <c r="L12"/>
      <c r="M12"/>
      <c r="N12"/>
      <c r="O12" s="108"/>
      <c r="P12" s="108"/>
    </row>
    <row r="13" spans="2:16" ht="65.25" customHeight="1" x14ac:dyDescent="0.25">
      <c r="B13" s="108"/>
      <c r="C13" s="459"/>
      <c r="D13" s="459"/>
      <c r="E13" s="459"/>
      <c r="F13" s="30" t="s">
        <v>300</v>
      </c>
      <c r="G13" s="44" t="s">
        <v>5</v>
      </c>
      <c r="H13" s="27" t="s">
        <v>6</v>
      </c>
      <c r="I13" s="27" t="s">
        <v>31</v>
      </c>
      <c r="J13" s="27" t="s">
        <v>15</v>
      </c>
      <c r="K13" s="306" t="s">
        <v>278</v>
      </c>
      <c r="L13"/>
      <c r="M13"/>
      <c r="N13"/>
      <c r="O13" s="108"/>
      <c r="P13" s="108"/>
    </row>
    <row r="14" spans="2:16" ht="15.75" x14ac:dyDescent="0.25">
      <c r="B14" s="101">
        <v>1</v>
      </c>
      <c r="C14" s="445" t="s">
        <v>160</v>
      </c>
      <c r="D14" s="445"/>
      <c r="E14" s="445"/>
      <c r="F14" s="290"/>
      <c r="G14" s="45"/>
      <c r="H14" s="29"/>
      <c r="I14" s="29"/>
      <c r="J14" s="309"/>
      <c r="K14" s="293">
        <f>SUM(F14:J14)</f>
        <v>0</v>
      </c>
      <c r="L14"/>
      <c r="M14"/>
      <c r="N14"/>
      <c r="O14" s="108"/>
      <c r="P14" s="108"/>
    </row>
    <row r="15" spans="2:16" ht="15.75" x14ac:dyDescent="0.25">
      <c r="B15" s="101">
        <v>2</v>
      </c>
      <c r="C15" s="445" t="s">
        <v>161</v>
      </c>
      <c r="D15" s="445"/>
      <c r="E15" s="445"/>
      <c r="F15" s="29">
        <v>217632.88</v>
      </c>
      <c r="G15" s="411"/>
      <c r="H15" s="412"/>
      <c r="I15" s="412"/>
      <c r="J15" s="413"/>
      <c r="K15" s="293">
        <f>SUM(F15:J15)</f>
        <v>217632.88</v>
      </c>
      <c r="L15"/>
      <c r="M15"/>
      <c r="N15"/>
      <c r="O15" s="108"/>
      <c r="P15" s="108"/>
    </row>
    <row r="16" spans="2:16" ht="15.75" x14ac:dyDescent="0.25">
      <c r="B16" s="405">
        <v>3</v>
      </c>
      <c r="C16" s="442" t="s">
        <v>314</v>
      </c>
      <c r="D16" s="443"/>
      <c r="E16" s="444"/>
      <c r="F16" s="367"/>
      <c r="G16" s="19"/>
      <c r="H16" s="19"/>
      <c r="I16" s="19"/>
      <c r="J16" s="19"/>
      <c r="K16" s="293">
        <f>SUM(F16:J16)</f>
        <v>0</v>
      </c>
      <c r="L16" s="404"/>
      <c r="M16" s="404"/>
      <c r="N16" s="404"/>
      <c r="O16" s="108"/>
      <c r="P16" s="108"/>
    </row>
    <row r="17" spans="2:17" ht="15.75" x14ac:dyDescent="0.25">
      <c r="B17" s="405">
        <v>4</v>
      </c>
      <c r="C17" s="442" t="s">
        <v>315</v>
      </c>
      <c r="D17" s="443"/>
      <c r="E17" s="444"/>
      <c r="F17" s="410"/>
      <c r="G17" s="19"/>
      <c r="H17" s="19"/>
      <c r="I17" s="19"/>
      <c r="J17" s="19"/>
      <c r="K17" s="293">
        <f>SUM(F17:J17)</f>
        <v>0</v>
      </c>
      <c r="L17" s="404"/>
      <c r="M17" s="404"/>
      <c r="N17" s="404"/>
      <c r="O17" s="108"/>
      <c r="P17" s="108"/>
    </row>
    <row r="18" spans="2:17" ht="15.75" x14ac:dyDescent="0.25">
      <c r="B18" s="101">
        <v>5</v>
      </c>
      <c r="C18" s="445" t="s">
        <v>162</v>
      </c>
      <c r="D18" s="445"/>
      <c r="E18" s="445"/>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5" t="s">
        <v>163</v>
      </c>
      <c r="D19" s="445"/>
      <c r="E19" s="445"/>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5" t="s">
        <v>236</v>
      </c>
      <c r="D20" s="445"/>
      <c r="E20" s="445"/>
      <c r="F20" s="19">
        <f>SUMIF($J$29:$J$132,"Project Direct",K$29:K$132)</f>
        <v>1838079.61</v>
      </c>
      <c r="G20" s="47">
        <f>SUMIF($J$29:$J$132,"Project Direct",L$29:L$132)</f>
        <v>0</v>
      </c>
      <c r="H20" s="19">
        <f>SUMIF($J$29:$J$132,"Project Direct",M$29:M$132)</f>
        <v>0</v>
      </c>
      <c r="I20" s="19">
        <f>SUMIF($J$29:$J$132,"Project Direct",N$29:N$132)</f>
        <v>0</v>
      </c>
      <c r="J20" s="19">
        <f>SUMIF($J$29:$J$132,"Project Direct",O$29:O$132)</f>
        <v>0</v>
      </c>
      <c r="K20" s="293">
        <f t="shared" si="0"/>
        <v>1838079.61</v>
      </c>
      <c r="L20"/>
      <c r="M20"/>
      <c r="N20"/>
      <c r="O20" s="108"/>
      <c r="P20" s="108"/>
    </row>
    <row r="21" spans="2:17" ht="15.75" x14ac:dyDescent="0.25">
      <c r="B21" s="101">
        <v>8</v>
      </c>
      <c r="C21" s="458" t="s">
        <v>164</v>
      </c>
      <c r="D21" s="458"/>
      <c r="E21" s="458"/>
      <c r="F21" s="18">
        <f>SUM(F18:F20)</f>
        <v>1838079.61</v>
      </c>
      <c r="G21" s="48">
        <f>SUM(G18:G20)</f>
        <v>0</v>
      </c>
      <c r="H21" s="18">
        <f>SUM(H18:H20)</f>
        <v>0</v>
      </c>
      <c r="I21" s="18">
        <f>SUM(I18:I20)</f>
        <v>0</v>
      </c>
      <c r="J21" s="18">
        <f t="shared" ref="J21" si="1">SUM(J18:J20)</f>
        <v>0</v>
      </c>
      <c r="K21" s="18">
        <f t="shared" ref="K21" si="2">SUM(K18:K20)</f>
        <v>1838079.61</v>
      </c>
      <c r="L21"/>
      <c r="M21"/>
      <c r="N21"/>
      <c r="O21" s="108"/>
      <c r="P21" s="108"/>
    </row>
    <row r="22" spans="2:17" ht="30.95" customHeight="1" x14ac:dyDescent="0.25">
      <c r="B22" s="101">
        <v>9</v>
      </c>
      <c r="C22" s="455" t="s">
        <v>316</v>
      </c>
      <c r="D22" s="455"/>
      <c r="E22" s="455"/>
      <c r="F22" s="20">
        <f t="shared" ref="F22:K22" si="3">SUM(F14:F15,F17,F18:F20)</f>
        <v>2055712.4900000002</v>
      </c>
      <c r="G22" s="20">
        <f t="shared" si="3"/>
        <v>0</v>
      </c>
      <c r="H22" s="20">
        <f t="shared" si="3"/>
        <v>0</v>
      </c>
      <c r="I22" s="20">
        <f t="shared" si="3"/>
        <v>0</v>
      </c>
      <c r="J22" s="20">
        <f t="shared" si="3"/>
        <v>0</v>
      </c>
      <c r="K22" s="20">
        <f t="shared" si="3"/>
        <v>2055712.4900000002</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6" t="s">
        <v>167</v>
      </c>
      <c r="E27" s="456"/>
      <c r="F27" s="456"/>
      <c r="G27" s="456"/>
      <c r="H27" s="456"/>
      <c r="I27" s="456"/>
      <c r="J27" s="456"/>
      <c r="K27" s="340" t="s">
        <v>28</v>
      </c>
      <c r="L27" s="456" t="s">
        <v>30</v>
      </c>
      <c r="M27" s="456"/>
      <c r="N27" s="456"/>
      <c r="O27" s="456"/>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34</v>
      </c>
      <c r="D29" s="395" t="s">
        <v>335</v>
      </c>
      <c r="E29" s="138"/>
      <c r="F29" s="138">
        <v>42491</v>
      </c>
      <c r="G29" s="138">
        <v>43040</v>
      </c>
      <c r="H29" s="116">
        <v>2500000</v>
      </c>
      <c r="I29" s="116"/>
      <c r="J29" s="118" t="s">
        <v>158</v>
      </c>
      <c r="K29" s="120"/>
      <c r="L29" s="120"/>
      <c r="M29" s="116"/>
      <c r="N29" s="116"/>
      <c r="O29" s="129"/>
      <c r="P29" s="293">
        <f t="shared" ref="P29:P64" si="4">SUM(K29:O29)</f>
        <v>0</v>
      </c>
    </row>
    <row r="30" spans="2:17" x14ac:dyDescent="0.2">
      <c r="B30" s="123">
        <v>1</v>
      </c>
      <c r="C30" s="139">
        <f t="shared" ref="C30:I31" si="5">IF(ISBLANK(C29),"",C29)</f>
        <v>34</v>
      </c>
      <c r="D30" s="397" t="str">
        <f t="shared" si="5"/>
        <v>Program 2 - Mental Health Ungent Care Clinic</v>
      </c>
      <c r="E30" s="140" t="str">
        <f t="shared" si="5"/>
        <v/>
      </c>
      <c r="F30" s="140">
        <f t="shared" si="5"/>
        <v>42491</v>
      </c>
      <c r="G30" s="140">
        <f t="shared" si="5"/>
        <v>43040</v>
      </c>
      <c r="H30" s="122">
        <f t="shared" si="5"/>
        <v>2500000</v>
      </c>
      <c r="I30" s="122" t="str">
        <f t="shared" si="5"/>
        <v/>
      </c>
      <c r="J30" s="119" t="s">
        <v>159</v>
      </c>
      <c r="K30" s="120"/>
      <c r="L30" s="120"/>
      <c r="M30" s="116"/>
      <c r="N30" s="116"/>
      <c r="O30" s="129"/>
      <c r="P30" s="293">
        <f t="shared" si="4"/>
        <v>0</v>
      </c>
    </row>
    <row r="31" spans="2:17" x14ac:dyDescent="0.2">
      <c r="B31" s="123">
        <v>1</v>
      </c>
      <c r="C31" s="139">
        <f t="shared" ref="C31:H31" si="6">IF(ISBLANK(C29),"",C29)</f>
        <v>34</v>
      </c>
      <c r="D31" s="398" t="str">
        <f t="shared" si="6"/>
        <v>Program 2 - Mental Health Ungent Care Clinic</v>
      </c>
      <c r="E31" s="141" t="str">
        <f t="shared" si="6"/>
        <v/>
      </c>
      <c r="F31" s="141">
        <f t="shared" si="6"/>
        <v>42491</v>
      </c>
      <c r="G31" s="141">
        <f t="shared" si="6"/>
        <v>43040</v>
      </c>
      <c r="H31" s="119">
        <f t="shared" si="6"/>
        <v>2500000</v>
      </c>
      <c r="I31" s="119" t="str">
        <f t="shared" si="5"/>
        <v/>
      </c>
      <c r="J31" s="119" t="s">
        <v>237</v>
      </c>
      <c r="K31" s="120">
        <v>1838079.61</v>
      </c>
      <c r="L31" s="120"/>
      <c r="M31" s="116"/>
      <c r="N31" s="116"/>
      <c r="O31" s="129"/>
      <c r="P31" s="293">
        <f t="shared" si="4"/>
        <v>1838079.61</v>
      </c>
    </row>
    <row r="32" spans="2:17" ht="15.75" x14ac:dyDescent="0.25">
      <c r="B32" s="96">
        <v>1</v>
      </c>
      <c r="C32" s="22">
        <f t="shared" ref="C32:I32" si="7">IF(ISBLANK(C29),"",C29)</f>
        <v>34</v>
      </c>
      <c r="D32" s="399" t="str">
        <f t="shared" si="7"/>
        <v>Program 2 - Mental Health Ungent Care Clinic</v>
      </c>
      <c r="E32" s="33" t="str">
        <f t="shared" si="7"/>
        <v/>
      </c>
      <c r="F32" s="33">
        <f t="shared" si="7"/>
        <v>42491</v>
      </c>
      <c r="G32" s="33">
        <f t="shared" si="7"/>
        <v>43040</v>
      </c>
      <c r="H32" s="34">
        <f t="shared" si="7"/>
        <v>2500000</v>
      </c>
      <c r="I32" s="34" t="str">
        <f t="shared" si="7"/>
        <v/>
      </c>
      <c r="J32" s="8" t="s">
        <v>263</v>
      </c>
      <c r="K32" s="50">
        <f>SUM(K29:K31)</f>
        <v>1838079.61</v>
      </c>
      <c r="L32" s="50">
        <f>SUM(L29:L31)</f>
        <v>0</v>
      </c>
      <c r="M32" s="35">
        <f t="shared" ref="M32:O32" si="8">SUM(M29:M31)</f>
        <v>0</v>
      </c>
      <c r="N32" s="35">
        <f t="shared" si="8"/>
        <v>0</v>
      </c>
      <c r="O32" s="311">
        <f t="shared" si="8"/>
        <v>0</v>
      </c>
      <c r="P32" s="8">
        <f t="shared" si="4"/>
        <v>1838079.61</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E33" sqref="E33"/>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Sacramento</v>
      </c>
      <c r="F7" s="94" t="s">
        <v>2</v>
      </c>
      <c r="G7" s="38">
        <f>IF(ISBLANK('1. Information'!D7),"",'1. Information'!D7)</f>
        <v>43435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0" t="s">
        <v>213</v>
      </c>
      <c r="H12" s="461"/>
      <c r="I12" s="461"/>
      <c r="J12" s="462"/>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5" t="s">
        <v>16</v>
      </c>
      <c r="D14" s="445"/>
      <c r="E14" s="442"/>
      <c r="F14" s="290"/>
      <c r="G14" s="142"/>
      <c r="H14" s="142"/>
      <c r="I14" s="142"/>
      <c r="J14" s="142"/>
      <c r="K14" s="292">
        <f>SUM(F14:J14)</f>
        <v>0</v>
      </c>
      <c r="L14"/>
      <c r="M14"/>
      <c r="N14" s="108"/>
      <c r="O14" s="108"/>
    </row>
    <row r="15" spans="1:22" ht="15.75" x14ac:dyDescent="0.25">
      <c r="A15" s="108"/>
      <c r="B15" s="101">
        <v>2</v>
      </c>
      <c r="C15" s="445" t="s">
        <v>17</v>
      </c>
      <c r="D15" s="445"/>
      <c r="E15" s="442"/>
      <c r="F15" s="290"/>
      <c r="G15" s="142"/>
      <c r="H15" s="142"/>
      <c r="I15" s="142"/>
      <c r="J15" s="142"/>
      <c r="K15" s="292">
        <f t="shared" ref="K15:K19" si="0">SUM(F15:J15)</f>
        <v>0</v>
      </c>
      <c r="L15"/>
      <c r="M15"/>
      <c r="N15" s="108"/>
      <c r="O15" s="108"/>
    </row>
    <row r="16" spans="1:22" ht="15.75" x14ac:dyDescent="0.25">
      <c r="A16" s="108"/>
      <c r="B16" s="101">
        <v>3</v>
      </c>
      <c r="C16" s="445" t="s">
        <v>238</v>
      </c>
      <c r="D16" s="445"/>
      <c r="E16" s="442"/>
      <c r="F16" s="290"/>
      <c r="G16" s="355"/>
      <c r="H16" s="355"/>
      <c r="I16" s="355"/>
      <c r="J16" s="355"/>
      <c r="K16" s="292">
        <f t="shared" si="0"/>
        <v>0</v>
      </c>
      <c r="L16"/>
      <c r="M16"/>
      <c r="N16" s="108"/>
      <c r="O16" s="108"/>
    </row>
    <row r="17" spans="1:22" ht="15.75" x14ac:dyDescent="0.25">
      <c r="A17" s="108"/>
      <c r="B17" s="101">
        <v>4</v>
      </c>
      <c r="C17" s="445" t="s">
        <v>221</v>
      </c>
      <c r="D17" s="445"/>
      <c r="E17" s="442"/>
      <c r="F17" s="367"/>
      <c r="G17" s="119"/>
      <c r="H17" s="119"/>
      <c r="I17" s="119"/>
      <c r="J17" s="119"/>
      <c r="K17" s="292">
        <f t="shared" si="0"/>
        <v>0</v>
      </c>
      <c r="L17"/>
      <c r="M17"/>
      <c r="N17" s="108"/>
      <c r="O17" s="108"/>
    </row>
    <row r="18" spans="1:22" ht="15.75" x14ac:dyDescent="0.25">
      <c r="A18" s="108"/>
      <c r="B18" s="101">
        <v>5</v>
      </c>
      <c r="C18" s="445" t="s">
        <v>222</v>
      </c>
      <c r="D18" s="445"/>
      <c r="E18" s="442"/>
      <c r="F18" s="367"/>
      <c r="G18" s="119"/>
      <c r="H18" s="119"/>
      <c r="I18" s="119"/>
      <c r="J18" s="119"/>
      <c r="K18" s="292">
        <f t="shared" si="0"/>
        <v>0</v>
      </c>
      <c r="L18"/>
      <c r="M18"/>
      <c r="N18" s="108"/>
      <c r="O18" s="108"/>
    </row>
    <row r="19" spans="1:22" ht="15.75" x14ac:dyDescent="0.25">
      <c r="A19" s="108"/>
      <c r="B19" s="101">
        <v>6</v>
      </c>
      <c r="C19" s="442" t="s">
        <v>174</v>
      </c>
      <c r="D19" s="443"/>
      <c r="E19" s="444"/>
      <c r="F19" s="122">
        <f>SUM(E28:E32)</f>
        <v>1030663.6099999999</v>
      </c>
      <c r="G19" s="121">
        <f t="shared" ref="G19:I19" si="1">SUM(F28:F32)</f>
        <v>0</v>
      </c>
      <c r="H19" s="122">
        <f t="shared" si="1"/>
        <v>0</v>
      </c>
      <c r="I19" s="122">
        <f t="shared" si="1"/>
        <v>0</v>
      </c>
      <c r="J19" s="122">
        <f>SUM(I28:I32)</f>
        <v>0</v>
      </c>
      <c r="K19" s="293">
        <f t="shared" si="0"/>
        <v>1030663.6099999999</v>
      </c>
      <c r="L19"/>
      <c r="M19"/>
      <c r="N19" s="108"/>
      <c r="O19" s="108"/>
    </row>
    <row r="20" spans="1:22" ht="30.95" customHeight="1" x14ac:dyDescent="0.25">
      <c r="A20" s="108"/>
      <c r="B20" s="101">
        <v>7</v>
      </c>
      <c r="C20" s="455" t="s">
        <v>220</v>
      </c>
      <c r="D20" s="455"/>
      <c r="E20" s="455"/>
      <c r="F20" s="8">
        <f>SUM(F14:F16,F18:F19)</f>
        <v>1030663.6099999999</v>
      </c>
      <c r="G20" s="43">
        <f t="shared" ref="G20:J20" si="2">SUM(G14:G16,G18:G19)</f>
        <v>0</v>
      </c>
      <c r="H20" s="7">
        <f t="shared" si="2"/>
        <v>0</v>
      </c>
      <c r="I20" s="7">
        <f t="shared" si="2"/>
        <v>0</v>
      </c>
      <c r="J20" s="7">
        <f t="shared" si="2"/>
        <v>0</v>
      </c>
      <c r="K20" s="8">
        <f>SUM(K14:K16,K18:K19)</f>
        <v>1030663.6099999999</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3" t="s">
        <v>30</v>
      </c>
      <c r="G26" s="463"/>
      <c r="H26" s="463"/>
      <c r="I26" s="463"/>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34</v>
      </c>
      <c r="D28" s="145" t="s">
        <v>105</v>
      </c>
      <c r="E28" s="117">
        <v>192723.43</v>
      </c>
      <c r="F28" s="120"/>
      <c r="G28" s="117"/>
      <c r="H28" s="117"/>
      <c r="I28" s="312"/>
      <c r="J28" s="119">
        <f>SUM(E28:I28)</f>
        <v>192723.43</v>
      </c>
      <c r="K28"/>
      <c r="L28"/>
      <c r="M28"/>
      <c r="N28"/>
      <c r="O28"/>
      <c r="P28"/>
      <c r="Q28"/>
      <c r="R28"/>
    </row>
    <row r="29" spans="1:22" ht="15.75" x14ac:dyDescent="0.25">
      <c r="A29" s="108"/>
      <c r="B29" s="101">
        <v>2</v>
      </c>
      <c r="C29" s="132">
        <f>IF(J29&lt;&gt;0,VLOOKUP($D$7,Info_County_Code,2,FALSE),"")</f>
        <v>34</v>
      </c>
      <c r="D29" s="145" t="s">
        <v>106</v>
      </c>
      <c r="E29" s="116">
        <v>492121.26</v>
      </c>
      <c r="F29" s="120"/>
      <c r="G29" s="116"/>
      <c r="H29" s="116"/>
      <c r="I29" s="313"/>
      <c r="J29" s="119">
        <f t="shared" ref="J29:J32" si="3">SUM(E29:I29)</f>
        <v>492121.26</v>
      </c>
      <c r="K29"/>
      <c r="L29"/>
      <c r="M29"/>
      <c r="N29"/>
      <c r="O29"/>
      <c r="P29"/>
      <c r="Q29"/>
      <c r="R29"/>
    </row>
    <row r="30" spans="1:22" ht="15.75" x14ac:dyDescent="0.25">
      <c r="A30" s="108"/>
      <c r="B30" s="101">
        <v>3</v>
      </c>
      <c r="C30" s="132">
        <f>IF(J30&lt;&gt;0,VLOOKUP($D$7,Info_County_Code,2,FALSE),"")</f>
        <v>34</v>
      </c>
      <c r="D30" s="145" t="s">
        <v>107</v>
      </c>
      <c r="E30" s="116">
        <v>58123.73</v>
      </c>
      <c r="F30" s="120"/>
      <c r="G30" s="116"/>
      <c r="H30" s="116"/>
      <c r="I30" s="313"/>
      <c r="J30" s="119">
        <f t="shared" si="3"/>
        <v>58123.73</v>
      </c>
      <c r="K30"/>
      <c r="L30"/>
      <c r="M30"/>
      <c r="N30"/>
      <c r="O30"/>
      <c r="P30"/>
      <c r="Q30"/>
      <c r="R30"/>
    </row>
    <row r="31" spans="1:22" ht="15.75" x14ac:dyDescent="0.25">
      <c r="A31" s="108"/>
      <c r="B31" s="144">
        <v>4</v>
      </c>
      <c r="C31" s="132">
        <f>IF(J31&lt;&gt;0,VLOOKUP($D$7,Info_County_Code,2,FALSE),"")</f>
        <v>34</v>
      </c>
      <c r="D31" s="145" t="s">
        <v>108</v>
      </c>
      <c r="E31" s="116">
        <v>272176</v>
      </c>
      <c r="F31" s="120"/>
      <c r="G31" s="116"/>
      <c r="H31" s="116"/>
      <c r="I31" s="313"/>
      <c r="J31" s="119">
        <f t="shared" si="3"/>
        <v>272176</v>
      </c>
      <c r="K31"/>
      <c r="L31"/>
      <c r="M31"/>
      <c r="N31"/>
      <c r="O31"/>
      <c r="P31"/>
      <c r="Q31"/>
      <c r="R31"/>
    </row>
    <row r="32" spans="1:22" ht="15.75" x14ac:dyDescent="0.25">
      <c r="A32" s="108"/>
      <c r="B32" s="101">
        <v>5</v>
      </c>
      <c r="C32" s="132">
        <f>IF(J32&lt;&gt;0,VLOOKUP($D$7,Info_County_Code,2,FALSE),"")</f>
        <v>34</v>
      </c>
      <c r="D32" s="145" t="s">
        <v>109</v>
      </c>
      <c r="E32" s="116">
        <v>15519.19</v>
      </c>
      <c r="F32" s="120"/>
      <c r="G32" s="116"/>
      <c r="H32" s="116"/>
      <c r="I32" s="313"/>
      <c r="J32" s="119">
        <f t="shared" si="3"/>
        <v>15519.19</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G29" sqref="G29"/>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7"/>
      <c r="C1" s="457"/>
      <c r="D1" s="457"/>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Sacramento</v>
      </c>
      <c r="E7" s="16"/>
      <c r="F7" s="95" t="s">
        <v>2</v>
      </c>
      <c r="G7" s="109">
        <f>IF(ISBLANK('1. Information'!D7),"",'1. Information'!D7)</f>
        <v>43435</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0" t="s">
        <v>213</v>
      </c>
      <c r="H12" s="430"/>
      <c r="I12" s="430"/>
      <c r="J12" s="430"/>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5" t="s">
        <v>189</v>
      </c>
      <c r="D14" s="445"/>
      <c r="E14" s="442"/>
      <c r="F14" s="142"/>
      <c r="G14" s="142"/>
      <c r="H14" s="142"/>
      <c r="I14" s="142"/>
      <c r="J14" s="142"/>
      <c r="K14" s="118">
        <f>SUM(F14:J14)</f>
        <v>0</v>
      </c>
      <c r="L14"/>
      <c r="M14"/>
      <c r="U14" s="108"/>
      <c r="V14" s="108"/>
      <c r="W14" s="108"/>
    </row>
    <row r="15" spans="2:23" x14ac:dyDescent="0.25">
      <c r="B15" s="101">
        <v>2</v>
      </c>
      <c r="C15" s="445" t="s">
        <v>188</v>
      </c>
      <c r="D15" s="445"/>
      <c r="E15" s="442"/>
      <c r="F15" s="142"/>
      <c r="G15" s="142"/>
      <c r="H15" s="142"/>
      <c r="I15" s="142"/>
      <c r="J15" s="142"/>
      <c r="K15" s="118">
        <f t="shared" ref="K15:K20" si="0">SUM(F15:J15)</f>
        <v>0</v>
      </c>
      <c r="L15"/>
      <c r="M15"/>
      <c r="U15" s="108"/>
      <c r="V15" s="108"/>
      <c r="W15" s="108"/>
    </row>
    <row r="16" spans="2:23" x14ac:dyDescent="0.25">
      <c r="B16" s="101">
        <v>3</v>
      </c>
      <c r="C16" s="445" t="s">
        <v>123</v>
      </c>
      <c r="D16" s="445"/>
      <c r="E16" s="442"/>
      <c r="F16" s="142"/>
      <c r="G16" s="142"/>
      <c r="H16" s="142"/>
      <c r="I16" s="142"/>
      <c r="J16" s="142"/>
      <c r="K16" s="118">
        <f t="shared" si="0"/>
        <v>0</v>
      </c>
      <c r="L16"/>
      <c r="M16"/>
      <c r="U16" s="108"/>
      <c r="V16" s="108"/>
      <c r="W16" s="108"/>
    </row>
    <row r="17" spans="2:23" x14ac:dyDescent="0.25">
      <c r="B17" s="101">
        <v>4</v>
      </c>
      <c r="C17" s="445" t="s">
        <v>122</v>
      </c>
      <c r="D17" s="445"/>
      <c r="E17" s="442"/>
      <c r="F17" s="142"/>
      <c r="G17" s="142"/>
      <c r="H17" s="142"/>
      <c r="I17" s="142"/>
      <c r="J17" s="142"/>
      <c r="K17" s="118">
        <f t="shared" si="0"/>
        <v>0</v>
      </c>
      <c r="L17"/>
      <c r="M17"/>
      <c r="U17" s="108"/>
      <c r="V17" s="108"/>
      <c r="W17" s="108"/>
    </row>
    <row r="18" spans="2:23" x14ac:dyDescent="0.25">
      <c r="B18" s="101">
        <v>5</v>
      </c>
      <c r="C18" s="445" t="s">
        <v>239</v>
      </c>
      <c r="D18" s="445"/>
      <c r="E18" s="442"/>
      <c r="F18" s="142"/>
      <c r="G18" s="142"/>
      <c r="H18" s="142"/>
      <c r="I18" s="142"/>
      <c r="J18" s="142"/>
      <c r="K18" s="118">
        <f t="shared" si="0"/>
        <v>0</v>
      </c>
      <c r="L18"/>
      <c r="M18"/>
      <c r="U18" s="108"/>
      <c r="V18" s="108"/>
      <c r="W18" s="108"/>
    </row>
    <row r="19" spans="2:23" x14ac:dyDescent="0.25">
      <c r="B19" s="101">
        <v>6</v>
      </c>
      <c r="C19" s="445" t="s">
        <v>240</v>
      </c>
      <c r="D19" s="445"/>
      <c r="E19" s="442"/>
      <c r="F19" s="142"/>
      <c r="G19" s="142"/>
      <c r="H19" s="142"/>
      <c r="I19" s="142"/>
      <c r="J19" s="355"/>
      <c r="K19" s="118">
        <f t="shared" si="0"/>
        <v>0</v>
      </c>
      <c r="L19"/>
      <c r="M19"/>
      <c r="U19" s="108"/>
      <c r="V19" s="108"/>
      <c r="W19" s="108"/>
    </row>
    <row r="20" spans="2:23" x14ac:dyDescent="0.25">
      <c r="B20" s="101">
        <v>7</v>
      </c>
      <c r="C20" s="445" t="s">
        <v>175</v>
      </c>
      <c r="D20" s="445"/>
      <c r="E20" s="445"/>
      <c r="F20" s="121">
        <f>SUM(G28:G47)</f>
        <v>3946130.95</v>
      </c>
      <c r="G20" s="121">
        <f>SUM(H28:H47)</f>
        <v>0</v>
      </c>
      <c r="H20" s="122">
        <f t="shared" ref="H20" si="1">SUM(I28:I47)</f>
        <v>0</v>
      </c>
      <c r="I20" s="122">
        <f>SUM(J28:J47)</f>
        <v>0</v>
      </c>
      <c r="J20" s="119">
        <f>SUM(K28:K47)</f>
        <v>0</v>
      </c>
      <c r="K20" s="118">
        <f t="shared" si="0"/>
        <v>3946130.95</v>
      </c>
      <c r="L20"/>
      <c r="M20"/>
      <c r="U20" s="108"/>
      <c r="V20" s="108"/>
      <c r="W20" s="108"/>
    </row>
    <row r="21" spans="2:23" ht="30.95" customHeight="1" x14ac:dyDescent="0.25">
      <c r="B21" s="101">
        <v>8</v>
      </c>
      <c r="C21" s="464" t="s">
        <v>20</v>
      </c>
      <c r="D21" s="464"/>
      <c r="E21" s="464"/>
      <c r="F21" s="43">
        <f>SUM(F14:F20)</f>
        <v>3946130.95</v>
      </c>
      <c r="G21" s="43">
        <f>SUM(G14:G20)</f>
        <v>0</v>
      </c>
      <c r="H21" s="7">
        <f t="shared" ref="H21:J21" si="2">SUM(H14:H20)</f>
        <v>0</v>
      </c>
      <c r="I21" s="7">
        <f t="shared" si="2"/>
        <v>0</v>
      </c>
      <c r="J21" s="299">
        <f t="shared" si="2"/>
        <v>0</v>
      </c>
      <c r="K21" s="7">
        <f t="shared" ref="K21" si="3">SUM(K14:K20)</f>
        <v>3946130.95</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3" t="s">
        <v>224</v>
      </c>
      <c r="E26" s="463"/>
      <c r="F26" s="463"/>
      <c r="G26" s="344" t="s">
        <v>214</v>
      </c>
      <c r="H26" s="463" t="s">
        <v>213</v>
      </c>
      <c r="I26" s="463"/>
      <c r="J26" s="463"/>
      <c r="K26" s="463"/>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34</v>
      </c>
      <c r="D28" s="364" t="s">
        <v>336</v>
      </c>
      <c r="E28" s="151"/>
      <c r="F28" s="125" t="s">
        <v>177</v>
      </c>
      <c r="G28" s="117">
        <v>3946130.95</v>
      </c>
      <c r="H28" s="126"/>
      <c r="I28" s="126"/>
      <c r="J28" s="117"/>
      <c r="K28" s="312"/>
      <c r="L28" s="316">
        <f>SUM(G28:K28)</f>
        <v>3946130.95</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2019-01-04T15:29:31Z</cp:lastPrinted>
  <dcterms:created xsi:type="dcterms:W3CDTF">2017-07-05T19:48:18Z</dcterms:created>
  <dcterms:modified xsi:type="dcterms:W3CDTF">2019-05-21T21:23:36Z</dcterms:modified>
</cp:coreProperties>
</file>