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19200" windowHeight="10860" tabRatio="834" firstSheet="1" activeTab="11"/>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CSS'!$A$1:$L$51</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2" l="1"/>
  <c r="G33" i="22"/>
  <c r="G48" i="22" l="1"/>
  <c r="G41" i="22"/>
  <c r="F19" i="6"/>
  <c r="F15" i="3"/>
  <c r="F16" i="2"/>
  <c r="K31" i="3" l="1"/>
  <c r="L49" i="2"/>
  <c r="G46" i="22"/>
  <c r="G44" i="22"/>
  <c r="L54" i="2" l="1"/>
  <c r="I52" i="2"/>
  <c r="I53" i="2"/>
  <c r="L51" i="2"/>
  <c r="L46" i="2"/>
  <c r="I47" i="2" s="1"/>
  <c r="L45" i="2"/>
  <c r="I44" i="2"/>
  <c r="L42" i="2"/>
  <c r="I43" i="2" s="1"/>
  <c r="L41" i="2"/>
  <c r="L40" i="2"/>
  <c r="L39" i="2"/>
  <c r="L38" i="2"/>
  <c r="L37" i="2"/>
  <c r="L36" i="2"/>
  <c r="I48" i="2" l="1"/>
  <c r="G47" i="22"/>
  <c r="G42" i="22"/>
  <c r="G40" i="22"/>
  <c r="G39" i="22"/>
  <c r="G38" i="22"/>
  <c r="G37" i="22"/>
  <c r="G35" i="22"/>
  <c r="G34" i="22"/>
  <c r="E31" i="5" l="1"/>
  <c r="H13" i="14" l="1"/>
  <c r="F13" i="10" l="1"/>
  <c r="G13" i="14"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55" i="2" l="1"/>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L44" i="22"/>
  <c r="L45" i="22"/>
  <c r="L46" i="22"/>
  <c r="L47" i="22"/>
  <c r="L48" i="22"/>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C106" i="3"/>
  <c r="P108" i="3"/>
  <c r="C105" i="3" s="1"/>
  <c r="C108" i="3" s="1"/>
  <c r="P104" i="3"/>
  <c r="C101" i="3" s="1"/>
  <c r="C104" i="3" s="1"/>
  <c r="P100" i="3"/>
  <c r="C97" i="3" s="1"/>
  <c r="C100" i="3" s="1"/>
  <c r="P128" i="3"/>
  <c r="C125" i="3" s="1"/>
  <c r="C126" i="3" s="1"/>
  <c r="P132" i="3"/>
  <c r="C111" i="3"/>
  <c r="C122" i="3"/>
  <c r="C123" i="3"/>
  <c r="C127" i="3"/>
  <c r="C128" i="3"/>
  <c r="P96" i="3"/>
  <c r="C93" i="3" s="1"/>
  <c r="C96" i="3" s="1"/>
  <c r="C94" i="3"/>
  <c r="C90" i="3"/>
  <c r="P36" i="3"/>
  <c r="C33" i="3" s="1"/>
  <c r="C99" i="3" l="1"/>
  <c r="C129" i="3"/>
  <c r="C132" i="3" s="1"/>
  <c r="C91" i="3"/>
  <c r="C118" i="3"/>
  <c r="C110" i="3"/>
  <c r="C95" i="3"/>
  <c r="C115" i="3"/>
  <c r="C98" i="3"/>
  <c r="C114" i="3"/>
  <c r="C107" i="3"/>
  <c r="C102" i="3"/>
  <c r="C119" i="3"/>
  <c r="C103" i="3"/>
  <c r="C131" i="3"/>
  <c r="C130" i="3"/>
  <c r="B3" i="20"/>
  <c r="B4" i="20"/>
  <c r="K30" i="19" l="1"/>
  <c r="K35" i="19" s="1"/>
  <c r="M27" i="19"/>
  <c r="D17" i="19" s="1"/>
  <c r="H27" i="19"/>
  <c r="G27" i="19"/>
  <c r="J15" i="7" l="1"/>
  <c r="C15" i="7" s="1"/>
  <c r="J14" i="7"/>
  <c r="C14" i="7" s="1"/>
  <c r="K19" i="6"/>
  <c r="K18" i="6"/>
  <c r="K17" i="6"/>
  <c r="K16" i="6"/>
  <c r="K15" i="6"/>
  <c r="K14" i="6"/>
  <c r="L29" i="6"/>
  <c r="C29" i="6" s="1"/>
  <c r="L30" i="6"/>
  <c r="C30" i="6" s="1"/>
  <c r="L31" i="6"/>
  <c r="L32" i="6"/>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J31" i="5"/>
  <c r="J30" i="5"/>
  <c r="J29" i="5"/>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2" i="22" l="1"/>
  <c r="C46" i="22"/>
  <c r="C40" i="22"/>
  <c r="C37" i="22"/>
  <c r="C41" i="22"/>
  <c r="C44" i="22"/>
  <c r="C48" i="22"/>
  <c r="C36" i="22"/>
  <c r="C47" i="22"/>
  <c r="C39" i="22"/>
  <c r="C38" i="22"/>
  <c r="C34" i="22"/>
  <c r="C43" i="22"/>
  <c r="C45" i="22"/>
  <c r="C35"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C13" i="10" s="1"/>
  <c r="D7" i="7"/>
  <c r="D7" i="6"/>
  <c r="D7" i="5"/>
  <c r="D7" i="3"/>
  <c r="D7" i="2"/>
  <c r="C71" i="17"/>
  <c r="B71" i="17"/>
  <c r="E71" i="17" s="1"/>
  <c r="E70" i="17"/>
  <c r="C69" i="17"/>
  <c r="B69" i="17"/>
  <c r="E69" i="17" s="1"/>
  <c r="C37" i="2" l="1"/>
  <c r="C45" i="2"/>
  <c r="C53" i="2"/>
  <c r="C38" i="2"/>
  <c r="C46" i="2"/>
  <c r="C54" i="2"/>
  <c r="C40" i="2"/>
  <c r="C48" i="2"/>
  <c r="C36" i="2"/>
  <c r="C41" i="2"/>
  <c r="C49" i="2"/>
  <c r="C42" i="2"/>
  <c r="C43" i="2"/>
  <c r="C51" i="2"/>
  <c r="C47" i="2"/>
  <c r="C50" i="2"/>
  <c r="C44" i="2"/>
  <c r="C52" i="2"/>
  <c r="C39" i="2"/>
  <c r="C29" i="5"/>
  <c r="C32" i="5"/>
  <c r="C30" i="5"/>
  <c r="C31" i="5"/>
  <c r="C28" i="6"/>
  <c r="C31" i="6"/>
  <c r="C32" i="6"/>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70" i="3"/>
  <c r="C71" i="3"/>
  <c r="C66" i="3"/>
  <c r="C67" i="3"/>
  <c r="C60" i="3"/>
  <c r="C58" i="3"/>
  <c r="C50" i="3"/>
  <c r="C52" i="3"/>
  <c r="C46" i="3"/>
  <c r="C47" i="3"/>
  <c r="C44" i="3"/>
  <c r="C43" i="3"/>
  <c r="C38" i="3"/>
  <c r="C39" i="3"/>
  <c r="C63" i="3" l="1"/>
  <c r="C79" i="3"/>
  <c r="C64" i="3"/>
  <c r="C76" i="3"/>
  <c r="C78" i="3"/>
  <c r="C75" i="3"/>
  <c r="C83" i="3"/>
  <c r="C87" i="3"/>
  <c r="C82" i="3"/>
  <c r="C55" i="3"/>
  <c r="C56" i="3"/>
  <c r="C86"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s="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22" i="3" s="1"/>
  <c r="J19" i="3"/>
  <c r="G18" i="3"/>
  <c r="H19" i="3"/>
  <c r="I19" i="3"/>
  <c r="I22" i="3" l="1"/>
  <c r="H22" i="3"/>
  <c r="G22" i="3"/>
  <c r="F31" i="19" s="1"/>
  <c r="F22" i="3"/>
  <c r="F30" i="19" s="1"/>
  <c r="K18" i="3"/>
  <c r="K19" i="3"/>
  <c r="D40" i="19" s="1"/>
  <c r="F33" i="19"/>
  <c r="N33" i="19" s="1"/>
  <c r="I21" i="3"/>
  <c r="F34" i="19"/>
  <c r="N34" i="19" s="1"/>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<sst xmlns="http://schemas.openxmlformats.org/spreadsheetml/2006/main" count="836" uniqueCount="364">
  <si>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</si>
  <si>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</si>
  <si>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</si>
  <si>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</si>
  <si>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</si>
  <si>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</si>
  <si>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</si>
  <si>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</si>
  <si>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</si>
  <si>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</si>
  <si>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</si>
  <si>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</si>
  <si>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</si>
  <si>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</si>
  <si>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</si>
  <si>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</si>
  <si>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</si>
  <si>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</si>
  <si>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</si>
  <si>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</si>
  <si>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</si>
  <si>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</si>
  <si>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</si>
  <si>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</si>
  <si>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</si>
  <si>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</si>
  <si>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</si>
  <si>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</si>
  <si>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</si>
  <si>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</si>
  <si>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</si>
  <si>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</si>
  <si>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</si>
  <si>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</si>
  <si>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</si>
  <si>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</si>
  <si>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</si>
  <si>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</si>
  <si>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</si>
  <si>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</si>
  <si>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</si>
  <si>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</si>
  <si>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</si>
  <si>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</si>
  <si>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</si>
  <si>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</si>
  <si>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</si>
  <si>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</si>
  <si>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</si>
  <si>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</si>
  <si>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</si>
  <si>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</si>
  <si>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</si>
  <si>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</si>
  <si>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</si>
  <si>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</si>
  <si>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</si>
  <si>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</si>
  <si>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</si>
  <si>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</si>
  <si>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</si>
  <si>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</si>
  <si>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</si>
  <si>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</si>
  <si>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</si>
  <si>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</si>
  <si>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</si>
  <si>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</si>
  <si>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</si>
  <si>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</si>
  <si>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</si>
  <si>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</si>
  <si>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</si>
  <si>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</si>
  <si>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</si>
  <si>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</si>
  <si>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</si>
  <si>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</si>
  <si>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</si>
  <si>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</si>
  <si>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</si>
  <si>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</si>
  <si>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</si>
  <si>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</si>
  <si>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</si>
  <si>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</si>
  <si>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</si>
  <si>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</si>
  <si>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</si>
  <si>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</si>
  <si>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</si>
  <si>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</si>
  <si>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</si>
  <si>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</si>
  <si>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</si>
  <si>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</si>
  <si>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</si>
  <si>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</si>
  <si>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</si>
  <si>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</si>
  <si>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</si>
  <si>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</si>
  <si>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</si>
  <si>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</si>
  <si>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</si>
  <si>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</si>
  <si>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</si>
  <si>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</si>
  <si>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</si>
  <si>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</si>
  <si>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</si>
  <si>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</si>
  <si>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</si>
  <si>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</si>
  <si>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</si>
  <si>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</si>
  <si>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</si>
  <si>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</si>
  <si>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</si>
  <si>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</si>
  <si>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</si>
  <si>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</si>
  <si>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</si>
  <si>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</si>
  <si>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</si>
  <si>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</si>
  <si>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</si>
  <si>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</si>
  <si>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</si>
  <si>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</si>
  <si>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</si>
  <si>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</si>
  <si>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</si>
  <si>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</si>
  <si>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</si>
  <si>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</si>
  <si>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</si>
  <si>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</si>
  <si>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</si>
  <si>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</si>
  <si>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</si>
  <si>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</si>
  <si>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</si>
  <si>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</si>
  <si>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</si>
  <si>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</si>
  <si>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</si>
  <si>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</si>
  <si>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</si>
  <si>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</si>
  <si>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</si>
  <si>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</si>
  <si>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</si>
  <si>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</si>
  <si>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</si>
  <si>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</si>
  <si>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</si>
  <si>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</si>
  <si>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</si>
  <si>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</si>
  <si>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</si>
  <si>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</si>
  <si>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</si>
  <si>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</si>
  <si>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</si>
  <si>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</si>
  <si>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</si>
  <si>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</si>
  <si>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</si>
  <si>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</si>
  <si>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</si>
  <si>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</si>
  <si>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</si>
  <si>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</si>
  <si>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</si>
  <si>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</si>
  <si>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</si>
  <si>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</si>
  <si>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</si>
  <si>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</si>
  <si>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</si>
  <si>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</si>
  <si>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</si>
  <si>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</si>
  <si>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</si>
  <si>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</si>
  <si>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</si>
  <si>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</si>
  <si>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</si>
  <si>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</si>
  <si>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</si>
  <si>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</si>
  <si>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</si>
  <si>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</si>
  <si>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</si>
  <si>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</si>
  <si>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</si>
  <si>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</si>
  <si>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</si>
  <si>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</si>
  <si>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</si>
  <si>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</si>
  <si>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</si>
  <si>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</si>
  <si>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</si>
  <si>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</si>
  <si>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</si>
  <si>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</si>
  <si>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</si>
  <si>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</si>
  <si>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</si>
  <si>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</si>
  <si>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</si>
  <si>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</si>
  <si>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</si>
  <si>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</si>
  <si>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</si>
  <si>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</si>
  <si>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</si>
  <si>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</si>
  <si>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</si>
  <si>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</si>
  <si>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</si>
  <si>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</si>
  <si>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</si>
  <si>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</si>
  <si>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</si>
  <si>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</si>
  <si>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</si>
  <si>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</si>
  <si>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</si>
  <si>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</si>
  <si>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</si>
  <si>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</si>
  <si>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</si>
  <si>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</si>
  <si>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</si>
  <si>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</si>
  <si>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</si>
  <si>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</si>
  <si>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</si>
  <si>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</si>
  <si>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</si>
  <si>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</si>
  <si>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</si>
  <si>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</si>
  <si>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</si>
  <si>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</si>
  <si>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</si>
  <si>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</si>
  <si>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</si>
  <si>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</si>
  <si>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</si>
  <si>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</si>
  <si>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</si>
  <si>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</si>
  <si>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</si>
  <si>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</si>
  <si>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</si>
  <si>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</si>
  <si>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</si>
  <si>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</si>
  <si>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</si>
  <si>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</si>
  <si>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</si>
  <si>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</si>
  <si>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</si>
  <si>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</si>
  <si>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</si>
  <si>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</si>
  <si>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</si>
  <si>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</si>
  <si>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</si>
  <si>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</si>
  <si>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</si>
  <si>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</si>
  <si>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</si>
  <si>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</si>
  <si>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</si>
  <si>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</si>
  <si>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</si>
  <si>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</si>
  <si>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</si>
  <si>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</si>
  <si>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</si>
  <si>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</si>
  <si>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</si>
  <si>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</si>
  <si>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</si>
  <si>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</si>
  <si>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</si>
  <si>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</si>
  <si>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</si>
  <si>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</si>
  <si>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</si>
  <si>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</si>
  <si>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</si>
  <si>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</si>
  <si>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</si>
  <si>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</si>
  <si>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</si>
  <si>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</si>
  <si>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</si>
  <si>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</si>
  <si>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</si>
  <si>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</si>
  <si>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</si>
  <si>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</si>
  <si>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</si>
  <si>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</si>
  <si>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</si>
  <si>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</si>
  <si>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</si>
  <si>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</si>
  <si>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</si>
  <si>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</si>
  <si>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</si>
  <si>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</si>
  <si>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</si>
  <si>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</si>
  <si>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</si>
  <si>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</si>
  <si>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16/17 Revised MHSA contracts cost report</t>
  </si>
  <si>
    <t xml:space="preserve">      </t>
  </si>
  <si>
    <t>C-1 Comprehensive Child and Family Support System</t>
  </si>
  <si>
    <t>C-2 Integrated New Family Opportunity Program</t>
  </si>
  <si>
    <t>TAY - One Stop Center</t>
  </si>
  <si>
    <t>A-2 Forensic Integrated Mental Health Services</t>
  </si>
  <si>
    <t>A-3 Forensics Continuum of Care</t>
  </si>
  <si>
    <t>A-7 Homeless Assistance Resources and Support Program</t>
  </si>
  <si>
    <t>A-8 Big Bear Full Services Partnership</t>
  </si>
  <si>
    <t>OA-2 Older Adult Case Management</t>
  </si>
  <si>
    <t>A-11 Regional Adult</t>
  </si>
  <si>
    <t>A-1 Clubhouse</t>
  </si>
  <si>
    <t>A-4 Crisis Walk-In Center/Crisis Stablization Unit</t>
  </si>
  <si>
    <t>A-5 Psych Diversion Team at ARMC</t>
  </si>
  <si>
    <t>A-6 Community Crisis Response Team</t>
  </si>
  <si>
    <t>OA-1 Circle of Care</t>
  </si>
  <si>
    <t>A-9 Assessment, Coordination &amp; Enhancement</t>
  </si>
  <si>
    <t>A-10 Crisis Residential Treatment Program</t>
  </si>
  <si>
    <t>SI-2 Preschool Program</t>
  </si>
  <si>
    <t>CI-4 National Crossroads Education Institute Training</t>
  </si>
  <si>
    <t>SE-1 Older Adult Community Services</t>
  </si>
  <si>
    <t>SE-4 Military Services &amp; Family Support</t>
  </si>
  <si>
    <t>SE-5 LIFT</t>
  </si>
  <si>
    <t>CI-3 Native American Resource Centers</t>
  </si>
  <si>
    <t>SE-2 Child and Youth Connection</t>
  </si>
  <si>
    <t>SE-3 Community Wholeness and Enrichment</t>
  </si>
  <si>
    <t>Recovery Based Engagement Supp Team</t>
  </si>
  <si>
    <t>303 E. Vanderbilt Way</t>
  </si>
  <si>
    <t>Kevin Bunch</t>
  </si>
  <si>
    <t>Staff Analyst II</t>
  </si>
  <si>
    <t>kbunch@dbh.sbcounty.gov</t>
  </si>
  <si>
    <t>909-388-0835</t>
  </si>
  <si>
    <t>Data Warehouse Continuation Project</t>
  </si>
  <si>
    <t>Empowered Communication/Sharepoint Project</t>
  </si>
  <si>
    <t>Virtual Infrastructure Project</t>
  </si>
  <si>
    <t>Electronic Health Record Project</t>
  </si>
  <si>
    <t xml:space="preserve">BHMIS Replacement Project </t>
  </si>
  <si>
    <t>SI-1 Student Assistance Prgm</t>
  </si>
  <si>
    <t>SI-3 Resilience in African-Amr Children</t>
  </si>
  <si>
    <t>CI-1 Promotores de Salud/Comm Health Worker</t>
  </si>
  <si>
    <t>CI-2 Family Resource Centers</t>
  </si>
  <si>
    <t>SE-6 Coalition Against Sexual Exploitation (CASE)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</si>
</sst>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2">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1" fillId="0" borderId="19" xfId="0" applyFont="1" applyFill="1" applyBorder="1" applyAlignment="1" applyProtection="1">
      <protection locked="0"/>
    </xf>
    <xf numFmtId="14" fontId="1" fillId="0" borderId="19" xfId="0" applyNumberFormat="1" applyFont="1" applyFill="1" applyBorder="1" applyProtection="1">
      <protection locked="0"/>
    </xf>
    <xf numFmtId="164" fontId="1" fillId="0" borderId="24"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Reversion Statewid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H20" sqref="H20"/>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60"/>
      <c r="C1" s="460"/>
      <c r="D1" s="460"/>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8" t="s">
        <v>1</v>
      </c>
      <c r="C7" s="448"/>
      <c r="D7" s="9" t="str">
        <f>IF(ISBLANK('1. Information'!D8),"",'1. Information'!D8)</f>
        <v>San Bernardino</v>
      </c>
      <c r="F7" s="94" t="s">
        <v>2</v>
      </c>
      <c r="G7" s="109">
        <f>IF(ISBLANK('1. Information'!D7),"",'1. Information'!D7)</f>
        <v>43462</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9" t="s">
        <v>30</v>
      </c>
      <c r="G12" s="459"/>
      <c r="H12" s="459"/>
      <c r="I12" s="459"/>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H20" sqref="H20"/>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8" t="s">
        <v>1</v>
      </c>
      <c r="C7" s="448"/>
      <c r="D7" s="9" t="str">
        <f>IF(ISBLANK('1. Information'!D8),"",'1. Information'!D8)</f>
        <v>San Bernardino</v>
      </c>
      <c r="E7" s="3"/>
      <c r="F7" s="97" t="s">
        <v>178</v>
      </c>
      <c r="G7" s="109">
        <f>IF(ISBLANK('1. Information'!D7),"",'1. Information'!D7)</f>
        <v>43462</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f t="shared" ref="C13:C42" si="0">IF(F13&lt;&gt;0,VLOOKUP($D$7,Info_County_Code,2,FALSE),"")</f>
        <v>36</v>
      </c>
      <c r="D13" s="149" t="s">
        <v>34</v>
      </c>
      <c r="E13" s="337" t="s">
        <v>290</v>
      </c>
      <c r="F13" s="336">
        <f>17464759-7783021</f>
        <v>9681738</v>
      </c>
      <c r="G13" s="364" t="s">
        <v>322</v>
      </c>
    </row>
    <row r="14" spans="2:7" x14ac:dyDescent="0.2">
      <c r="B14" s="101">
        <v>2</v>
      </c>
      <c r="C14" s="132" t="str">
        <f t="shared" si="0"/>
        <v/>
      </c>
      <c r="D14" s="149"/>
      <c r="E14" s="133"/>
      <c r="F14" s="150"/>
      <c r="G14" s="364"/>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69"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abSelected="1" zoomScale="85" zoomScaleNormal="85" workbookViewId="0">
      <selection activeCell="H20" sqref="H20"/>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60"/>
      <c r="C1" s="460"/>
      <c r="D1" s="460"/>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8" t="s">
        <v>1</v>
      </c>
      <c r="C7" s="448"/>
      <c r="D7" s="9" t="str">
        <f>IF(ISBLANK('1. Information'!D8),"",'1. Information'!D8)</f>
        <v>San Bernardino</v>
      </c>
      <c r="F7" s="94" t="s">
        <v>2</v>
      </c>
      <c r="G7" s="38">
        <f>IF(ISBLANK('1. Information'!D7),"",'1. Information'!D7)</f>
        <v>43462</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f t="shared" ref="C13:C52" si="0">IF(I13&lt;&gt;0,VLOOKUP($D$7,Info_County_Code,2,FALSE),"")</f>
        <v>36</v>
      </c>
      <c r="D13" s="379" t="s">
        <v>295</v>
      </c>
      <c r="E13" s="149" t="s">
        <v>181</v>
      </c>
      <c r="F13" s="390" t="s">
        <v>34</v>
      </c>
      <c r="G13" s="92">
        <f>4455724+2881327+2831</f>
        <v>7339882</v>
      </c>
      <c r="H13" s="92">
        <f>2189263+748319</f>
        <v>2937582</v>
      </c>
      <c r="I13" s="91">
        <f>SUM(G13:H13)</f>
        <v>10277464</v>
      </c>
    </row>
    <row r="14" spans="2:9" x14ac:dyDescent="0.2">
      <c r="B14" s="101">
        <v>2</v>
      </c>
      <c r="C14" s="132">
        <f t="shared" si="0"/>
        <v>36</v>
      </c>
      <c r="D14" s="379" t="s">
        <v>290</v>
      </c>
      <c r="E14" s="149" t="s">
        <v>182</v>
      </c>
      <c r="F14" s="390" t="s">
        <v>34</v>
      </c>
      <c r="G14" s="92">
        <v>3194721</v>
      </c>
      <c r="H14" s="92">
        <v>4947782</v>
      </c>
      <c r="I14" s="91">
        <f t="shared" ref="I14:I52" si="1">SUM(G14:H14)</f>
        <v>8142503</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F27" sqref="F27"/>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8" t="s">
        <v>169</v>
      </c>
      <c r="B1" s="469"/>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1" t="s">
        <v>198</v>
      </c>
      <c r="B2" s="471"/>
      <c r="C2" s="471"/>
      <c r="D2" s="471"/>
      <c r="E2" s="471"/>
    </row>
    <row r="3" spans="1:7" ht="14.25" customHeight="1" x14ac:dyDescent="0.25">
      <c r="A3" s="471" t="s">
        <v>307</v>
      </c>
      <c r="B3" s="471"/>
      <c r="C3" s="471"/>
      <c r="D3" s="471"/>
      <c r="E3" s="471"/>
    </row>
    <row r="4" spans="1:7" ht="14.25" customHeight="1" thickBot="1" x14ac:dyDescent="0.3">
      <c r="A4" s="173"/>
      <c r="B4" s="174"/>
      <c r="C4" s="175"/>
      <c r="D4" s="176"/>
    </row>
    <row r="5" spans="1:7" ht="14.25" customHeight="1" x14ac:dyDescent="0.25">
      <c r="A5" s="177" t="s">
        <v>199</v>
      </c>
      <c r="B5" s="470" t="s">
        <v>200</v>
      </c>
      <c r="C5" s="470"/>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9" t="s">
        <v>280</v>
      </c>
      <c r="C7" s="427"/>
      <c r="F7" s="224"/>
    </row>
    <row r="8" spans="1:7" ht="55.5" customHeight="1" x14ac:dyDescent="0.2">
      <c r="B8" s="430" t="s">
        <v>281</v>
      </c>
      <c r="C8" s="431"/>
      <c r="F8" s="222"/>
      <c r="G8" s="224"/>
    </row>
    <row r="9" spans="1:7" ht="39.950000000000003" customHeight="1" x14ac:dyDescent="0.2">
      <c r="B9" s="430" t="s">
        <v>279</v>
      </c>
      <c r="C9" s="431"/>
      <c r="E9" s="222"/>
      <c r="F9" s="223"/>
    </row>
    <row r="10" spans="1:7" ht="39.950000000000003" customHeight="1" x14ac:dyDescent="0.2">
      <c r="B10" s="431" t="s">
        <v>264</v>
      </c>
      <c r="C10" s="431"/>
      <c r="D10" s="221"/>
    </row>
    <row r="11" spans="1:7" x14ac:dyDescent="0.2"/>
    <row r="12" spans="1:7" ht="29.25" customHeight="1" x14ac:dyDescent="0.2">
      <c r="B12" s="427" t="s">
        <v>266</v>
      </c>
      <c r="C12" s="428" t="s">
        <v>272</v>
      </c>
    </row>
    <row r="13" spans="1:7" ht="18" customHeight="1" x14ac:dyDescent="0.2">
      <c r="B13" s="427"/>
      <c r="C13" s="427"/>
    </row>
    <row r="14" spans="1:7" ht="60.75" customHeight="1" x14ac:dyDescent="0.2">
      <c r="B14" s="424" t="s">
        <v>267</v>
      </c>
      <c r="C14" s="381" t="s">
        <v>311</v>
      </c>
    </row>
    <row r="15" spans="1:7" ht="68.25" customHeight="1" x14ac:dyDescent="0.2">
      <c r="B15" s="425"/>
      <c r="C15" s="382" t="s">
        <v>321</v>
      </c>
    </row>
    <row r="16" spans="1:7" ht="66" customHeight="1" x14ac:dyDescent="0.2">
      <c r="B16" s="426"/>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7" sqref="D7"/>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43462</v>
      </c>
    </row>
    <row r="8" spans="1:5" ht="34.5" customHeight="1" x14ac:dyDescent="0.2">
      <c r="A8" s="99"/>
      <c r="B8" s="130">
        <v>2</v>
      </c>
      <c r="C8" s="102" t="s">
        <v>1</v>
      </c>
      <c r="D8" s="365" t="s">
        <v>78</v>
      </c>
    </row>
    <row r="9" spans="1:5" ht="34.5" customHeight="1" x14ac:dyDescent="0.2">
      <c r="A9" s="99"/>
      <c r="B9" s="130">
        <v>3</v>
      </c>
      <c r="C9" s="103" t="s">
        <v>125</v>
      </c>
      <c r="D9" s="104">
        <f>IF(ISBLANK(D8),"",VLOOKUP(D8,Info_County_Code,2))</f>
        <v>36</v>
      </c>
    </row>
    <row r="10" spans="1:5" ht="34.5" customHeight="1" x14ac:dyDescent="0.2">
      <c r="A10" s="99"/>
      <c r="B10" s="130">
        <v>4</v>
      </c>
      <c r="C10" s="102" t="s">
        <v>126</v>
      </c>
      <c r="D10" s="418" t="s">
        <v>349</v>
      </c>
    </row>
    <row r="11" spans="1:5" ht="34.5" customHeight="1" x14ac:dyDescent="0.2">
      <c r="A11" s="99"/>
      <c r="B11" s="130">
        <v>5</v>
      </c>
      <c r="C11" s="102" t="s">
        <v>127</v>
      </c>
      <c r="D11" s="365" t="s">
        <v>78</v>
      </c>
    </row>
    <row r="12" spans="1:5" ht="34.5" customHeight="1" x14ac:dyDescent="0.2">
      <c r="A12" s="99"/>
      <c r="B12" s="130">
        <v>6</v>
      </c>
      <c r="C12" s="102" t="s">
        <v>128</v>
      </c>
      <c r="D12" s="244">
        <v>92415</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350</v>
      </c>
    </row>
    <row r="15" spans="1:5" ht="34.5" customHeight="1" x14ac:dyDescent="0.2">
      <c r="A15" s="99"/>
      <c r="B15" s="130">
        <v>9</v>
      </c>
      <c r="C15" s="383" t="s">
        <v>193</v>
      </c>
      <c r="D15" s="419" t="s">
        <v>351</v>
      </c>
    </row>
    <row r="16" spans="1:5" ht="34.5" customHeight="1" x14ac:dyDescent="0.2">
      <c r="A16" s="99"/>
      <c r="B16" s="130">
        <v>10</v>
      </c>
      <c r="C16" s="383" t="s">
        <v>211</v>
      </c>
      <c r="D16" s="419" t="s">
        <v>352</v>
      </c>
    </row>
    <row r="17" spans="1:4" ht="34.5" customHeight="1" x14ac:dyDescent="0.2">
      <c r="A17" s="99"/>
      <c r="B17" s="130">
        <v>11</v>
      </c>
      <c r="C17" s="102" t="s">
        <v>194</v>
      </c>
      <c r="D17" s="420" t="s">
        <v>353</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55" zoomScaleNormal="55" zoomScaleSheetLayoutView="40" workbookViewId="0">
      <pane xSplit="3" ySplit="20" topLeftCell="D21" activePane="bottomRight" state="frozen"/>
      <selection activeCell="H20" sqref="H20"/>
      <selection pane="topRight" activeCell="H20" sqref="H20"/>
      <selection pane="bottomLeft" activeCell="H20" sqref="H20"/>
      <selection pane="bottomRight" activeCell="G7" sqref="G7"/>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San Bernardino</v>
      </c>
      <c r="F7" s="360" t="s">
        <v>2</v>
      </c>
      <c r="G7" s="259">
        <f>IF(ISBLANK('1. Information'!D7),"",'1. Information'!D7)</f>
        <v>43462</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1861814.0499999998</v>
      </c>
      <c r="E15" s="260"/>
      <c r="F15" s="260"/>
      <c r="G15" s="90"/>
      <c r="H15" s="260"/>
      <c r="I15" s="260"/>
      <c r="J15" s="260"/>
      <c r="K15" s="260"/>
      <c r="L15" s="260"/>
      <c r="M15" s="260"/>
      <c r="N15" s="260"/>
    </row>
    <row r="16" spans="2:14" x14ac:dyDescent="0.25">
      <c r="B16" s="24">
        <v>2</v>
      </c>
      <c r="C16" s="332" t="s">
        <v>306</v>
      </c>
      <c r="D16" s="394">
        <v>22152363</v>
      </c>
      <c r="E16" s="260"/>
      <c r="F16" s="260"/>
      <c r="G16" s="90"/>
      <c r="H16" s="260"/>
      <c r="I16" s="260"/>
      <c r="J16" s="260"/>
      <c r="K16" s="260"/>
      <c r="L16" s="260"/>
      <c r="M16" s="260"/>
      <c r="N16" s="260"/>
    </row>
    <row r="17" spans="2:14" x14ac:dyDescent="0.25">
      <c r="B17" s="24">
        <v>3</v>
      </c>
      <c r="C17" s="332" t="s">
        <v>312</v>
      </c>
      <c r="D17" s="91">
        <f>D16+M22+M27+SUM('9. Adjustment (MHSA)'!F83:F112)</f>
        <v>22152363</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1414978.6779999998</v>
      </c>
      <c r="E23" s="380">
        <f>D15*0.19</f>
        <v>353744.66949999996</v>
      </c>
      <c r="F23" s="261">
        <f>D15*0.05</f>
        <v>93090.702499999999</v>
      </c>
      <c r="G23" s="327"/>
      <c r="H23" s="327"/>
      <c r="I23" s="327"/>
      <c r="J23" s="334"/>
      <c r="K23" s="327"/>
      <c r="L23" s="327"/>
      <c r="M23" s="327"/>
      <c r="N23" s="333">
        <f>SUM(D23:M23)</f>
        <v>1861814.0499999996</v>
      </c>
    </row>
    <row r="24" spans="2:14" ht="24" customHeight="1" x14ac:dyDescent="0.25">
      <c r="B24" s="24">
        <v>6</v>
      </c>
      <c r="C24" s="266" t="s">
        <v>25</v>
      </c>
      <c r="D24" s="339">
        <f t="shared" ref="D24:L24" si="0">SUM(D22:D23)</f>
        <v>1414978.6779999998</v>
      </c>
      <c r="E24" s="339">
        <f t="shared" si="0"/>
        <v>353744.66949999996</v>
      </c>
      <c r="F24" s="339">
        <f t="shared" si="0"/>
        <v>93090.702499999999</v>
      </c>
      <c r="G24" s="339">
        <f t="shared" si="0"/>
        <v>0</v>
      </c>
      <c r="H24" s="339">
        <f t="shared" si="0"/>
        <v>0</v>
      </c>
      <c r="I24" s="339">
        <f t="shared" si="0"/>
        <v>0</v>
      </c>
      <c r="J24" s="339">
        <f t="shared" si="0"/>
        <v>0</v>
      </c>
      <c r="K24" s="339">
        <f t="shared" si="0"/>
        <v>0</v>
      </c>
      <c r="L24" s="339">
        <f t="shared" si="0"/>
        <v>0</v>
      </c>
      <c r="M24" s="339">
        <v>0</v>
      </c>
      <c r="N24" s="371">
        <f>SUM(D24:M24)</f>
        <v>1861814.0499999996</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58658796</v>
      </c>
      <c r="E30" s="264">
        <f>'4. PEI'!F21</f>
        <v>19178432</v>
      </c>
      <c r="F30" s="264">
        <f>'5. INN'!F22</f>
        <v>2084508</v>
      </c>
      <c r="G30" s="264">
        <f>'6. WET'!F20</f>
        <v>3008161</v>
      </c>
      <c r="H30" s="264">
        <f>'7. CFTN'!F21</f>
        <v>4027246</v>
      </c>
      <c r="I30" s="334"/>
      <c r="J30" s="264">
        <f>'8. WET RP, HP'!E14</f>
        <v>0</v>
      </c>
      <c r="K30" s="264">
        <f>'4. PEI'!F17</f>
        <v>0</v>
      </c>
      <c r="L30" s="264">
        <f>'8. WET RP, HP'!E15</f>
        <v>0</v>
      </c>
      <c r="M30" s="334"/>
      <c r="N30" s="264">
        <f t="shared" ref="N30:N35" si="1">SUM(D30:M30)</f>
        <v>86957143</v>
      </c>
    </row>
    <row r="31" spans="2:14" ht="24" customHeight="1" x14ac:dyDescent="0.25">
      <c r="B31" s="24">
        <v>9</v>
      </c>
      <c r="C31" s="262" t="s">
        <v>5</v>
      </c>
      <c r="D31" s="261">
        <f>'3. CSS'!G25</f>
        <v>26203002</v>
      </c>
      <c r="E31" s="261">
        <f>'4. PEI'!G21</f>
        <v>5140909</v>
      </c>
      <c r="F31" s="261">
        <f>'5. INN'!G22</f>
        <v>0</v>
      </c>
      <c r="G31" s="261">
        <f>'6. WET'!G20</f>
        <v>0</v>
      </c>
      <c r="H31" s="261">
        <f>'7. CFTN'!G21</f>
        <v>0</v>
      </c>
      <c r="I31" s="7"/>
      <c r="J31" s="261">
        <f>'8. WET RP, HP'!F14</f>
        <v>0</v>
      </c>
      <c r="K31" s="261">
        <f>'4. PEI'!G17</f>
        <v>0</v>
      </c>
      <c r="L31" s="261">
        <f>'8. WET RP, HP'!F15</f>
        <v>0</v>
      </c>
      <c r="M31" s="327"/>
      <c r="N31" s="264">
        <f t="shared" si="1"/>
        <v>31343911</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10769387</v>
      </c>
      <c r="E33" s="261">
        <f>'4. PEI'!I21</f>
        <v>5149734</v>
      </c>
      <c r="F33" s="261">
        <f>'5. INN'!I22</f>
        <v>0</v>
      </c>
      <c r="G33" s="261">
        <f>'6. WET'!I20</f>
        <v>0</v>
      </c>
      <c r="H33" s="261">
        <f>'7. CFTN'!I21</f>
        <v>0</v>
      </c>
      <c r="I33" s="7"/>
      <c r="J33" s="261">
        <f>'8. WET RP, HP'!H14</f>
        <v>0</v>
      </c>
      <c r="K33" s="261">
        <f>'4. PEI'!I17</f>
        <v>0</v>
      </c>
      <c r="L33" s="261">
        <f>'8. WET RP, HP'!H15</f>
        <v>0</v>
      </c>
      <c r="M33" s="327"/>
      <c r="N33" s="264">
        <f t="shared" si="1"/>
        <v>15919121</v>
      </c>
    </row>
    <row r="34" spans="2:14" ht="24" customHeight="1" x14ac:dyDescent="0.25">
      <c r="B34" s="24">
        <v>12</v>
      </c>
      <c r="C34" s="262" t="s">
        <v>15</v>
      </c>
      <c r="D34" s="261">
        <f>'3. CSS'!J25</f>
        <v>1953114</v>
      </c>
      <c r="E34" s="261">
        <f>'4. PEI'!J21</f>
        <v>4350318</v>
      </c>
      <c r="F34" s="261">
        <f>'5. INN'!J22</f>
        <v>0</v>
      </c>
      <c r="G34" s="261">
        <f>'6. WET'!J20</f>
        <v>0</v>
      </c>
      <c r="H34" s="261">
        <f>'7. CFTN'!J21</f>
        <v>0</v>
      </c>
      <c r="I34" s="7"/>
      <c r="J34" s="261">
        <f>'8. WET RP, HP'!I14</f>
        <v>0</v>
      </c>
      <c r="K34" s="261">
        <f>'4. PEI'!J17</f>
        <v>0</v>
      </c>
      <c r="L34" s="261">
        <f>'8. WET RP, HP'!I15</f>
        <v>0</v>
      </c>
      <c r="M34" s="327"/>
      <c r="N34" s="264">
        <f t="shared" si="1"/>
        <v>6303432</v>
      </c>
    </row>
    <row r="35" spans="2:14" ht="24" customHeight="1" x14ac:dyDescent="0.25">
      <c r="B35" s="24">
        <v>13</v>
      </c>
      <c r="C35" s="266" t="s">
        <v>25</v>
      </c>
      <c r="D35" s="267">
        <f>SUM(D30:D34)</f>
        <v>97584299</v>
      </c>
      <c r="E35" s="267">
        <f t="shared" ref="E35:L35" si="2">SUM(E30:E34)</f>
        <v>33819393</v>
      </c>
      <c r="F35" s="267">
        <f t="shared" si="2"/>
        <v>2084508</v>
      </c>
      <c r="G35" s="267">
        <f t="shared" si="2"/>
        <v>3008161</v>
      </c>
      <c r="H35" s="267">
        <f t="shared" si="2"/>
        <v>4027246</v>
      </c>
      <c r="I35" s="267">
        <f t="shared" si="2"/>
        <v>0</v>
      </c>
      <c r="J35" s="267">
        <f t="shared" si="2"/>
        <v>0</v>
      </c>
      <c r="K35" s="267">
        <f t="shared" si="2"/>
        <v>0</v>
      </c>
      <c r="L35" s="267">
        <f t="shared" si="2"/>
        <v>0</v>
      </c>
      <c r="M35" s="7"/>
      <c r="N35" s="339">
        <f t="shared" si="1"/>
        <v>140523607</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438962</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21589287</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A4" zoomScale="70" zoomScaleNormal="70" zoomScaleSheetLayoutView="40" zoomScalePageLayoutView="70" workbookViewId="0">
      <selection activeCell="F17" sqref="F17"/>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7"/>
      <c r="C1" s="447"/>
      <c r="D1" s="447"/>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8" t="s">
        <v>1</v>
      </c>
      <c r="C7" s="448"/>
      <c r="D7" s="9" t="str">
        <f>IF(ISBLANK('1. Information'!D8),"",'1. Information'!D8)</f>
        <v>San Bernardino</v>
      </c>
      <c r="E7" s="281"/>
      <c r="F7" s="279" t="s">
        <v>2</v>
      </c>
      <c r="G7" s="282">
        <f>IF(ISBLANK('1. Information'!D7),"",'1. Information'!D7)</f>
        <v>43462</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0" t="s">
        <v>30</v>
      </c>
      <c r="H12" s="438"/>
      <c r="I12" s="438"/>
      <c r="J12" s="441"/>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5" t="s">
        <v>7</v>
      </c>
      <c r="D14" s="445"/>
      <c r="E14" s="445"/>
      <c r="F14" s="367"/>
      <c r="G14" s="368"/>
      <c r="H14" s="353"/>
      <c r="I14" s="290"/>
      <c r="J14" s="290"/>
      <c r="K14" s="292">
        <f>SUM(F14:J14)</f>
        <v>0</v>
      </c>
      <c r="L14"/>
    </row>
    <row r="15" spans="1:12" ht="15" customHeight="1" x14ac:dyDescent="0.25">
      <c r="A15" s="281"/>
      <c r="B15" s="277">
        <v>2</v>
      </c>
      <c r="C15" s="445" t="s">
        <v>8</v>
      </c>
      <c r="D15" s="445"/>
      <c r="E15" s="445"/>
      <c r="F15" s="367"/>
      <c r="G15" s="290"/>
      <c r="H15" s="290"/>
      <c r="I15" s="290"/>
      <c r="J15" s="290"/>
      <c r="K15" s="292">
        <f t="shared" ref="K15:K23" si="0">SUM(F15:J15)</f>
        <v>0</v>
      </c>
      <c r="L15"/>
    </row>
    <row r="16" spans="1:12" x14ac:dyDescent="0.25">
      <c r="A16" s="281"/>
      <c r="B16" s="277">
        <v>3</v>
      </c>
      <c r="C16" s="445" t="s">
        <v>129</v>
      </c>
      <c r="D16" s="445"/>
      <c r="E16" s="445"/>
      <c r="F16" s="367">
        <f>11916799+1+3793705-200000-G16-J16+1</f>
        <v>12760506</v>
      </c>
      <c r="G16" s="290">
        <v>2000000</v>
      </c>
      <c r="H16" s="290"/>
      <c r="I16" s="290"/>
      <c r="J16" s="290">
        <v>750000</v>
      </c>
      <c r="K16" s="292">
        <f t="shared" si="0"/>
        <v>15510506</v>
      </c>
      <c r="L16"/>
    </row>
    <row r="17" spans="1:12" x14ac:dyDescent="0.25">
      <c r="A17" s="281"/>
      <c r="B17" s="277">
        <v>4</v>
      </c>
      <c r="C17" s="446" t="s">
        <v>218</v>
      </c>
      <c r="D17" s="446"/>
      <c r="E17" s="446"/>
      <c r="F17" s="367"/>
      <c r="G17" s="290"/>
      <c r="H17" s="290"/>
      <c r="I17" s="290"/>
      <c r="J17" s="290"/>
      <c r="K17" s="292">
        <f t="shared" si="0"/>
        <v>0</v>
      </c>
      <c r="L17"/>
    </row>
    <row r="18" spans="1:12" x14ac:dyDescent="0.25">
      <c r="A18" s="281"/>
      <c r="B18" s="277">
        <v>5</v>
      </c>
      <c r="C18" s="446" t="s">
        <v>219</v>
      </c>
      <c r="D18" s="446"/>
      <c r="E18" s="446"/>
      <c r="F18" s="367"/>
      <c r="G18" s="294"/>
      <c r="H18" s="294"/>
      <c r="I18" s="294"/>
      <c r="J18" s="294"/>
      <c r="K18" s="292">
        <f t="shared" si="0"/>
        <v>0</v>
      </c>
      <c r="L18"/>
    </row>
    <row r="19" spans="1:12" x14ac:dyDescent="0.25">
      <c r="A19" s="281"/>
      <c r="B19" s="277">
        <v>6</v>
      </c>
      <c r="C19" s="445" t="s">
        <v>216</v>
      </c>
      <c r="D19" s="445"/>
      <c r="E19" s="445"/>
      <c r="F19" s="290"/>
      <c r="G19" s="294"/>
      <c r="H19" s="294"/>
      <c r="I19" s="294"/>
      <c r="J19" s="294"/>
      <c r="K19" s="293">
        <f t="shared" si="0"/>
        <v>0</v>
      </c>
      <c r="L19"/>
    </row>
    <row r="20" spans="1:12" x14ac:dyDescent="0.25">
      <c r="A20" s="283"/>
      <c r="B20" s="256">
        <v>7</v>
      </c>
      <c r="C20" s="442" t="s">
        <v>226</v>
      </c>
      <c r="D20" s="443"/>
      <c r="E20" s="444"/>
      <c r="F20" s="290"/>
      <c r="G20" s="293"/>
      <c r="H20" s="293"/>
      <c r="I20" s="293"/>
      <c r="J20" s="293"/>
      <c r="K20" s="293">
        <f t="shared" si="0"/>
        <v>0</v>
      </c>
      <c r="L20"/>
    </row>
    <row r="21" spans="1:12" x14ac:dyDescent="0.25">
      <c r="A21" s="283"/>
      <c r="B21" s="256">
        <v>8</v>
      </c>
      <c r="C21" s="442" t="s">
        <v>227</v>
      </c>
      <c r="D21" s="443"/>
      <c r="E21" s="444"/>
      <c r="F21" s="290"/>
      <c r="G21" s="293"/>
      <c r="H21" s="293"/>
      <c r="I21" s="293"/>
      <c r="J21" s="293"/>
      <c r="K21" s="293">
        <f t="shared" si="0"/>
        <v>0</v>
      </c>
      <c r="L21"/>
    </row>
    <row r="22" spans="1:12" x14ac:dyDescent="0.25">
      <c r="A22" s="283"/>
      <c r="B22" s="256">
        <v>9</v>
      </c>
      <c r="C22" s="442" t="s">
        <v>225</v>
      </c>
      <c r="D22" s="443"/>
      <c r="E22" s="444"/>
      <c r="F22" s="290"/>
      <c r="G22" s="293"/>
      <c r="H22" s="293"/>
      <c r="I22" s="293"/>
      <c r="J22" s="293"/>
      <c r="K22" s="293">
        <f t="shared" si="0"/>
        <v>0</v>
      </c>
      <c r="L22"/>
    </row>
    <row r="23" spans="1:12" x14ac:dyDescent="0.25">
      <c r="A23" s="281"/>
      <c r="B23" s="277">
        <v>10</v>
      </c>
      <c r="C23" s="445" t="s">
        <v>140</v>
      </c>
      <c r="D23" s="445"/>
      <c r="E23" s="445"/>
      <c r="F23" s="294">
        <f>SUM(G33:G132)</f>
        <v>45898290</v>
      </c>
      <c r="G23" s="293">
        <f>SUM(H33:H132)</f>
        <v>24203002</v>
      </c>
      <c r="H23" s="293">
        <f>SUM(I33:I132)</f>
        <v>0</v>
      </c>
      <c r="I23" s="293">
        <f>SUM(J33:J132)</f>
        <v>10769387</v>
      </c>
      <c r="J23" s="293">
        <f>SUM(K33:K132)</f>
        <v>1203114</v>
      </c>
      <c r="K23" s="293">
        <f t="shared" si="0"/>
        <v>82073793</v>
      </c>
      <c r="L23"/>
    </row>
    <row r="24" spans="1:12" ht="30.95" customHeight="1" x14ac:dyDescent="0.25">
      <c r="A24" s="281"/>
      <c r="B24" s="277">
        <v>11</v>
      </c>
      <c r="C24" s="432" t="s">
        <v>223</v>
      </c>
      <c r="D24" s="433"/>
      <c r="E24" s="434"/>
      <c r="F24" s="7">
        <f>SUM(F14:F16,F18:F23)</f>
        <v>58658796</v>
      </c>
      <c r="G24" s="7">
        <f>SUM(G14:G16,G18:G23)</f>
        <v>26203002</v>
      </c>
      <c r="H24" s="43">
        <f t="shared" ref="H24:J24" si="1">SUM(H14:H16,H18:H23)</f>
        <v>0</v>
      </c>
      <c r="I24" s="7">
        <f t="shared" si="1"/>
        <v>10769387</v>
      </c>
      <c r="J24" s="7">
        <f t="shared" si="1"/>
        <v>1953114</v>
      </c>
      <c r="K24" s="7">
        <f>SUM(K14:K16,K18:K23)</f>
        <v>97584299</v>
      </c>
      <c r="L24"/>
    </row>
    <row r="25" spans="1:12" s="325" customFormat="1" ht="30.95" customHeight="1" x14ac:dyDescent="0.25">
      <c r="A25" s="281"/>
      <c r="B25" s="277">
        <v>12</v>
      </c>
      <c r="C25" s="439" t="s">
        <v>283</v>
      </c>
      <c r="D25" s="439"/>
      <c r="E25" s="439"/>
      <c r="F25" s="7">
        <f>SUM(F14:F16,F18,F23)</f>
        <v>58658796</v>
      </c>
      <c r="G25" s="299">
        <f t="shared" ref="G25:J25" si="2">SUM(G14:G16,G18,G23)</f>
        <v>26203002</v>
      </c>
      <c r="H25" s="299">
        <f t="shared" si="2"/>
        <v>0</v>
      </c>
      <c r="I25" s="299">
        <f t="shared" si="2"/>
        <v>10769387</v>
      </c>
      <c r="J25" s="7">
        <f t="shared" si="2"/>
        <v>1953114</v>
      </c>
      <c r="K25" s="7">
        <f>SUM(K14:K16,K18,K23)</f>
        <v>97584299</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8" t="s">
        <v>166</v>
      </c>
      <c r="E31" s="438"/>
      <c r="F31" s="438"/>
      <c r="G31" s="344" t="s">
        <v>28</v>
      </c>
      <c r="H31" s="435" t="s">
        <v>30</v>
      </c>
      <c r="I31" s="436"/>
      <c r="J31" s="436"/>
      <c r="K31" s="437"/>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ht="30.75" x14ac:dyDescent="0.25">
      <c r="A33" s="281"/>
      <c r="B33" s="295">
        <v>1</v>
      </c>
      <c r="C33" s="296">
        <f t="shared" ref="C33:C64" si="3">IF(L33&lt;&gt;0,VLOOKUP($D$7,Info_County_Code,2,FALSE),"")</f>
        <v>36</v>
      </c>
      <c r="D33" s="395" t="s">
        <v>324</v>
      </c>
      <c r="E33" s="395"/>
      <c r="F33" s="297" t="s">
        <v>102</v>
      </c>
      <c r="G33" s="291">
        <f>5262492</f>
        <v>5262492</v>
      </c>
      <c r="H33" s="291">
        <v>9091656</v>
      </c>
      <c r="I33" s="291"/>
      <c r="J33" s="318">
        <v>8914267</v>
      </c>
      <c r="K33" s="291">
        <v>250524</v>
      </c>
      <c r="L33" s="293">
        <f>SUM(G33:K33)</f>
        <v>23518939</v>
      </c>
    </row>
    <row r="34" spans="1:12" s="359" customFormat="1" x14ac:dyDescent="0.25">
      <c r="A34" s="281"/>
      <c r="B34" s="295">
        <v>2</v>
      </c>
      <c r="C34" s="296">
        <f t="shared" si="3"/>
        <v>36</v>
      </c>
      <c r="D34" s="395" t="s">
        <v>325</v>
      </c>
      <c r="E34" s="395"/>
      <c r="F34" s="297" t="s">
        <v>102</v>
      </c>
      <c r="G34" s="291">
        <f>1273400</f>
        <v>1273400</v>
      </c>
      <c r="H34" s="291">
        <v>94330</v>
      </c>
      <c r="I34" s="291"/>
      <c r="J34" s="318">
        <v>83156</v>
      </c>
      <c r="K34" s="291">
        <v>0</v>
      </c>
      <c r="L34" s="293">
        <f t="shared" ref="L34:L97" si="4">SUM(G34:K34)</f>
        <v>1450886</v>
      </c>
    </row>
    <row r="35" spans="1:12" s="359" customFormat="1" x14ac:dyDescent="0.25">
      <c r="A35" s="281"/>
      <c r="B35" s="295">
        <v>3</v>
      </c>
      <c r="C35" s="296">
        <f t="shared" si="3"/>
        <v>36</v>
      </c>
      <c r="D35" s="395" t="s">
        <v>326</v>
      </c>
      <c r="E35" s="395"/>
      <c r="F35" s="297" t="s">
        <v>102</v>
      </c>
      <c r="G35" s="291">
        <f>4524443</f>
        <v>4524443</v>
      </c>
      <c r="H35" s="291">
        <v>2444815</v>
      </c>
      <c r="I35" s="291"/>
      <c r="J35" s="318">
        <v>423959</v>
      </c>
      <c r="K35" s="291">
        <v>14523</v>
      </c>
      <c r="L35" s="293">
        <f t="shared" si="4"/>
        <v>7407740</v>
      </c>
    </row>
    <row r="36" spans="1:12" s="359" customFormat="1" x14ac:dyDescent="0.25">
      <c r="A36" s="281"/>
      <c r="B36" s="295">
        <v>4</v>
      </c>
      <c r="C36" s="296">
        <f t="shared" si="3"/>
        <v>36</v>
      </c>
      <c r="D36" s="395" t="s">
        <v>327</v>
      </c>
      <c r="E36" s="395"/>
      <c r="F36" s="297" t="s">
        <v>102</v>
      </c>
      <c r="G36" s="291">
        <v>3450891</v>
      </c>
      <c r="H36" s="291">
        <v>2241292</v>
      </c>
      <c r="I36" s="291"/>
      <c r="J36" s="318">
        <v>34550</v>
      </c>
      <c r="K36" s="291">
        <v>431777</v>
      </c>
      <c r="L36" s="293">
        <f t="shared" si="4"/>
        <v>6158510</v>
      </c>
    </row>
    <row r="37" spans="1:12" s="359" customFormat="1" x14ac:dyDescent="0.25">
      <c r="A37" s="281"/>
      <c r="B37" s="295">
        <v>5</v>
      </c>
      <c r="C37" s="296">
        <f t="shared" si="3"/>
        <v>36</v>
      </c>
      <c r="D37" s="395" t="s">
        <v>328</v>
      </c>
      <c r="E37" s="395"/>
      <c r="F37" s="297" t="s">
        <v>102</v>
      </c>
      <c r="G37" s="291">
        <f>4723159</f>
        <v>4723159</v>
      </c>
      <c r="H37" s="291">
        <v>1290605</v>
      </c>
      <c r="I37" s="291"/>
      <c r="J37" s="318">
        <v>45308</v>
      </c>
      <c r="K37" s="291"/>
      <c r="L37" s="293">
        <f t="shared" si="4"/>
        <v>6059072</v>
      </c>
    </row>
    <row r="38" spans="1:12" s="359" customFormat="1" ht="30.75" x14ac:dyDescent="0.25">
      <c r="A38" s="281"/>
      <c r="B38" s="295">
        <v>6</v>
      </c>
      <c r="C38" s="296">
        <f t="shared" si="3"/>
        <v>36</v>
      </c>
      <c r="D38" s="395" t="s">
        <v>329</v>
      </c>
      <c r="E38" s="395"/>
      <c r="F38" s="297" t="s">
        <v>102</v>
      </c>
      <c r="G38" s="291">
        <f>4891470</f>
        <v>4891470</v>
      </c>
      <c r="H38" s="291">
        <v>406192</v>
      </c>
      <c r="I38" s="291"/>
      <c r="J38" s="318">
        <v>13527</v>
      </c>
      <c r="K38" s="291">
        <v>506290</v>
      </c>
      <c r="L38" s="293">
        <f t="shared" si="4"/>
        <v>5817479</v>
      </c>
    </row>
    <row r="39" spans="1:12" s="359" customFormat="1" x14ac:dyDescent="0.25">
      <c r="A39" s="281"/>
      <c r="B39" s="295">
        <v>7</v>
      </c>
      <c r="C39" s="296">
        <f t="shared" si="3"/>
        <v>36</v>
      </c>
      <c r="D39" s="395" t="s">
        <v>330</v>
      </c>
      <c r="E39" s="395" t="s">
        <v>323</v>
      </c>
      <c r="F39" s="297" t="s">
        <v>102</v>
      </c>
      <c r="G39" s="291">
        <f>232754</f>
        <v>232754</v>
      </c>
      <c r="H39" s="291">
        <v>109009</v>
      </c>
      <c r="I39" s="291"/>
      <c r="J39" s="318">
        <v>12195</v>
      </c>
      <c r="K39" s="291"/>
      <c r="L39" s="293">
        <f t="shared" si="4"/>
        <v>353958</v>
      </c>
    </row>
    <row r="40" spans="1:12" s="359" customFormat="1" x14ac:dyDescent="0.25">
      <c r="A40" s="281"/>
      <c r="B40" s="295">
        <v>8</v>
      </c>
      <c r="C40" s="296">
        <f t="shared" si="3"/>
        <v>36</v>
      </c>
      <c r="D40" s="395" t="s">
        <v>331</v>
      </c>
      <c r="E40" s="395"/>
      <c r="F40" s="297" t="s">
        <v>102</v>
      </c>
      <c r="G40" s="291">
        <f>465236</f>
        <v>465236</v>
      </c>
      <c r="H40" s="291">
        <v>110612</v>
      </c>
      <c r="I40" s="291"/>
      <c r="J40" s="318"/>
      <c r="K40" s="291"/>
      <c r="L40" s="293">
        <f t="shared" si="4"/>
        <v>575848</v>
      </c>
    </row>
    <row r="41" spans="1:12" s="359" customFormat="1" x14ac:dyDescent="0.25">
      <c r="A41" s="281"/>
      <c r="B41" s="295">
        <v>9</v>
      </c>
      <c r="C41" s="296">
        <f t="shared" si="3"/>
        <v>36</v>
      </c>
      <c r="D41" s="395" t="s">
        <v>332</v>
      </c>
      <c r="E41" s="395"/>
      <c r="F41" s="297" t="s">
        <v>102</v>
      </c>
      <c r="G41" s="291">
        <f>3281316</f>
        <v>3281316</v>
      </c>
      <c r="H41" s="291">
        <v>2861636</v>
      </c>
      <c r="I41" s="291"/>
      <c r="J41" s="318">
        <v>33277</v>
      </c>
      <c r="K41" s="291"/>
      <c r="L41" s="293">
        <f t="shared" si="4"/>
        <v>6176229</v>
      </c>
    </row>
    <row r="42" spans="1:12" s="359" customFormat="1" x14ac:dyDescent="0.25">
      <c r="A42" s="281"/>
      <c r="B42" s="295">
        <v>10</v>
      </c>
      <c r="C42" s="296">
        <f t="shared" si="3"/>
        <v>36</v>
      </c>
      <c r="D42" s="395" t="s">
        <v>333</v>
      </c>
      <c r="E42" s="395"/>
      <c r="F42" s="297" t="s">
        <v>103</v>
      </c>
      <c r="G42" s="291">
        <f>2506683</f>
        <v>2506683</v>
      </c>
      <c r="H42" s="291"/>
      <c r="I42" s="291"/>
      <c r="J42" s="318"/>
      <c r="K42" s="291"/>
      <c r="L42" s="293">
        <f t="shared" si="4"/>
        <v>2506683</v>
      </c>
    </row>
    <row r="43" spans="1:12" s="359" customFormat="1" ht="30.75" x14ac:dyDescent="0.25">
      <c r="A43" s="281"/>
      <c r="B43" s="295">
        <v>11</v>
      </c>
      <c r="C43" s="296">
        <f t="shared" si="3"/>
        <v>36</v>
      </c>
      <c r="D43" s="395" t="s">
        <v>334</v>
      </c>
      <c r="E43" s="395"/>
      <c r="F43" s="297" t="s">
        <v>103</v>
      </c>
      <c r="G43" s="291">
        <v>4747369</v>
      </c>
      <c r="H43" s="291">
        <v>2080823</v>
      </c>
      <c r="I43" s="291"/>
      <c r="J43" s="318">
        <v>300121</v>
      </c>
      <c r="K43" s="291"/>
      <c r="L43" s="293">
        <f t="shared" si="4"/>
        <v>7128313</v>
      </c>
    </row>
    <row r="44" spans="1:12" s="359" customFormat="1" x14ac:dyDescent="0.25">
      <c r="A44" s="281"/>
      <c r="B44" s="295">
        <v>12</v>
      </c>
      <c r="C44" s="296">
        <f t="shared" si="3"/>
        <v>36</v>
      </c>
      <c r="D44" s="395" t="s">
        <v>335</v>
      </c>
      <c r="E44" s="395"/>
      <c r="F44" s="297" t="s">
        <v>103</v>
      </c>
      <c r="G44" s="291">
        <f>1198801</f>
        <v>1198801</v>
      </c>
      <c r="H44" s="291">
        <v>448749</v>
      </c>
      <c r="I44" s="291"/>
      <c r="J44" s="318">
        <v>22736</v>
      </c>
      <c r="K44" s="291"/>
      <c r="L44" s="293">
        <f t="shared" si="4"/>
        <v>1670286</v>
      </c>
    </row>
    <row r="45" spans="1:12" s="359" customFormat="1" x14ac:dyDescent="0.25">
      <c r="A45" s="281"/>
      <c r="B45" s="295">
        <v>13</v>
      </c>
      <c r="C45" s="296">
        <f t="shared" si="3"/>
        <v>36</v>
      </c>
      <c r="D45" s="395" t="s">
        <v>336</v>
      </c>
      <c r="E45" s="395"/>
      <c r="F45" s="297" t="s">
        <v>103</v>
      </c>
      <c r="G45" s="291">
        <v>4558904</v>
      </c>
      <c r="H45" s="291">
        <v>1745385</v>
      </c>
      <c r="I45" s="291"/>
      <c r="J45" s="318">
        <v>884960</v>
      </c>
      <c r="K45" s="291"/>
      <c r="L45" s="293">
        <f t="shared" si="4"/>
        <v>7189249</v>
      </c>
    </row>
    <row r="46" spans="1:12" s="359" customFormat="1" x14ac:dyDescent="0.25">
      <c r="A46" s="281"/>
      <c r="B46" s="295">
        <v>14</v>
      </c>
      <c r="C46" s="296">
        <f t="shared" si="3"/>
        <v>36</v>
      </c>
      <c r="D46" s="395" t="s">
        <v>337</v>
      </c>
      <c r="E46" s="395"/>
      <c r="F46" s="297" t="s">
        <v>103</v>
      </c>
      <c r="G46" s="291">
        <f>1151571</f>
        <v>1151571</v>
      </c>
      <c r="H46" s="291">
        <v>257502</v>
      </c>
      <c r="I46" s="291"/>
      <c r="J46" s="318">
        <v>0</v>
      </c>
      <c r="K46" s="291"/>
      <c r="L46" s="293">
        <f t="shared" si="4"/>
        <v>1409073</v>
      </c>
    </row>
    <row r="47" spans="1:12" s="359" customFormat="1" x14ac:dyDescent="0.25">
      <c r="A47" s="281"/>
      <c r="B47" s="295">
        <v>15</v>
      </c>
      <c r="C47" s="296">
        <f t="shared" si="3"/>
        <v>36</v>
      </c>
      <c r="D47" s="395" t="s">
        <v>338</v>
      </c>
      <c r="E47" s="395"/>
      <c r="F47" s="297" t="s">
        <v>103</v>
      </c>
      <c r="G47" s="291">
        <f>613531</f>
        <v>613531</v>
      </c>
      <c r="H47" s="291"/>
      <c r="I47" s="291"/>
      <c r="J47" s="318"/>
      <c r="K47" s="291"/>
      <c r="L47" s="293">
        <f t="shared" si="4"/>
        <v>613531</v>
      </c>
    </row>
    <row r="48" spans="1:12" s="359" customFormat="1" x14ac:dyDescent="0.25">
      <c r="A48" s="281"/>
      <c r="B48" s="295">
        <v>16</v>
      </c>
      <c r="C48" s="296">
        <f t="shared" si="3"/>
        <v>36</v>
      </c>
      <c r="D48" s="395" t="s">
        <v>339</v>
      </c>
      <c r="E48" s="395"/>
      <c r="F48" s="297" t="s">
        <v>103</v>
      </c>
      <c r="G48" s="291">
        <f>3017601-1331</f>
        <v>3016270</v>
      </c>
      <c r="H48" s="291">
        <v>1020396</v>
      </c>
      <c r="I48" s="291"/>
      <c r="J48" s="318">
        <v>1331</v>
      </c>
      <c r="K48" s="291"/>
      <c r="L48" s="293">
        <f t="shared" si="4"/>
        <v>4037997</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hidden="1" x14ac:dyDescent="0.25">
      <c r="A52" s="281"/>
      <c r="B52" s="295">
        <v>20</v>
      </c>
      <c r="C52" s="296" t="str">
        <f t="shared" si="3"/>
        <v/>
      </c>
      <c r="D52" s="395"/>
      <c r="E52" s="395"/>
      <c r="F52" s="297"/>
      <c r="G52" s="291"/>
      <c r="H52" s="291"/>
      <c r="I52" s="291"/>
      <c r="J52" s="318"/>
      <c r="K52" s="291"/>
      <c r="L52" s="293">
        <f t="shared" si="4"/>
        <v>0</v>
      </c>
    </row>
    <row r="53" spans="1:12" s="359" customFormat="1" hidden="1" x14ac:dyDescent="0.25">
      <c r="A53" s="281"/>
      <c r="B53" s="295">
        <v>21</v>
      </c>
      <c r="C53" s="296" t="str">
        <f t="shared" si="3"/>
        <v/>
      </c>
      <c r="D53" s="395"/>
      <c r="E53" s="395"/>
      <c r="F53" s="297"/>
      <c r="G53" s="291"/>
      <c r="H53" s="291"/>
      <c r="I53" s="291"/>
      <c r="J53" s="318"/>
      <c r="K53" s="291"/>
      <c r="L53" s="293">
        <f t="shared" si="4"/>
        <v>0</v>
      </c>
    </row>
    <row r="54" spans="1:12" s="359" customFormat="1" hidden="1" x14ac:dyDescent="0.25">
      <c r="A54" s="281"/>
      <c r="B54" s="295">
        <v>22</v>
      </c>
      <c r="C54" s="296" t="str">
        <f t="shared" si="3"/>
        <v/>
      </c>
      <c r="D54" s="395"/>
      <c r="E54" s="395"/>
      <c r="F54" s="297"/>
      <c r="G54" s="291"/>
      <c r="H54" s="291"/>
      <c r="I54" s="291"/>
      <c r="J54" s="318"/>
      <c r="K54" s="291"/>
      <c r="L54" s="293">
        <f t="shared" si="4"/>
        <v>0</v>
      </c>
    </row>
    <row r="55" spans="1:12" s="359" customFormat="1" hidden="1" x14ac:dyDescent="0.25">
      <c r="A55" s="281"/>
      <c r="B55" s="295">
        <v>23</v>
      </c>
      <c r="C55" s="296" t="str">
        <f t="shared" si="3"/>
        <v/>
      </c>
      <c r="D55" s="395"/>
      <c r="E55" s="395"/>
      <c r="F55" s="297"/>
      <c r="G55" s="291"/>
      <c r="H55" s="291"/>
      <c r="I55" s="291"/>
      <c r="J55" s="318"/>
      <c r="K55" s="291"/>
      <c r="L55" s="293">
        <f t="shared" si="4"/>
        <v>0</v>
      </c>
    </row>
    <row r="56" spans="1:12" s="359" customFormat="1" hidden="1" x14ac:dyDescent="0.25">
      <c r="A56" s="281"/>
      <c r="B56" s="295">
        <v>24</v>
      </c>
      <c r="C56" s="296" t="str">
        <f t="shared" si="3"/>
        <v/>
      </c>
      <c r="D56" s="395"/>
      <c r="E56" s="395"/>
      <c r="F56" s="297"/>
      <c r="G56" s="291"/>
      <c r="H56" s="291"/>
      <c r="I56" s="291"/>
      <c r="J56" s="318"/>
      <c r="K56" s="291"/>
      <c r="L56" s="293">
        <f t="shared" si="4"/>
        <v>0</v>
      </c>
    </row>
    <row r="57" spans="1:12" s="359" customFormat="1" hidden="1" x14ac:dyDescent="0.25">
      <c r="A57" s="281"/>
      <c r="B57" s="295">
        <v>25</v>
      </c>
      <c r="C57" s="296" t="str">
        <f t="shared" si="3"/>
        <v/>
      </c>
      <c r="D57" s="395"/>
      <c r="E57" s="395"/>
      <c r="F57" s="297"/>
      <c r="G57" s="291"/>
      <c r="H57" s="291"/>
      <c r="I57" s="291"/>
      <c r="J57" s="318"/>
      <c r="K57" s="291"/>
      <c r="L57" s="293">
        <f t="shared" si="4"/>
        <v>0</v>
      </c>
    </row>
    <row r="58" spans="1:12" s="359" customFormat="1" hidden="1" x14ac:dyDescent="0.25">
      <c r="A58" s="281"/>
      <c r="B58" s="295">
        <v>26</v>
      </c>
      <c r="C58" s="296" t="str">
        <f t="shared" si="3"/>
        <v/>
      </c>
      <c r="D58" s="395"/>
      <c r="E58" s="395"/>
      <c r="F58" s="297"/>
      <c r="G58" s="291"/>
      <c r="H58" s="291"/>
      <c r="I58" s="291"/>
      <c r="J58" s="318"/>
      <c r="K58" s="291"/>
      <c r="L58" s="293">
        <f t="shared" si="4"/>
        <v>0</v>
      </c>
    </row>
    <row r="59" spans="1:12" s="359" customFormat="1" hidden="1" x14ac:dyDescent="0.25">
      <c r="A59" s="281"/>
      <c r="B59" s="295">
        <v>27</v>
      </c>
      <c r="C59" s="296" t="str">
        <f t="shared" si="3"/>
        <v/>
      </c>
      <c r="D59" s="395"/>
      <c r="E59" s="395"/>
      <c r="F59" s="297"/>
      <c r="G59" s="291"/>
      <c r="H59" s="291"/>
      <c r="I59" s="291"/>
      <c r="J59" s="318"/>
      <c r="K59" s="291"/>
      <c r="L59" s="293">
        <f t="shared" si="4"/>
        <v>0</v>
      </c>
    </row>
    <row r="60" spans="1:12" s="359" customFormat="1" hidden="1" x14ac:dyDescent="0.25">
      <c r="A60" s="281"/>
      <c r="B60" s="295">
        <v>28</v>
      </c>
      <c r="C60" s="296" t="str">
        <f t="shared" si="3"/>
        <v/>
      </c>
      <c r="D60" s="395"/>
      <c r="E60" s="395"/>
      <c r="F60" s="297"/>
      <c r="G60" s="291"/>
      <c r="H60" s="291"/>
      <c r="I60" s="291"/>
      <c r="J60" s="318"/>
      <c r="K60" s="291"/>
      <c r="L60" s="293">
        <f t="shared" si="4"/>
        <v>0</v>
      </c>
    </row>
    <row r="61" spans="1:12" s="359" customFormat="1" hidden="1" x14ac:dyDescent="0.25">
      <c r="A61" s="281"/>
      <c r="B61" s="295">
        <v>29</v>
      </c>
      <c r="C61" s="296" t="str">
        <f t="shared" si="3"/>
        <v/>
      </c>
      <c r="D61" s="395"/>
      <c r="E61" s="395"/>
      <c r="F61" s="297"/>
      <c r="G61" s="291"/>
      <c r="H61" s="291"/>
      <c r="I61" s="291"/>
      <c r="J61" s="318"/>
      <c r="K61" s="291"/>
      <c r="L61" s="293">
        <f t="shared" si="4"/>
        <v>0</v>
      </c>
    </row>
    <row r="62" spans="1:12" s="359" customFormat="1" hidden="1" x14ac:dyDescent="0.25">
      <c r="A62" s="281"/>
      <c r="B62" s="295">
        <v>30</v>
      </c>
      <c r="C62" s="296" t="str">
        <f t="shared" si="3"/>
        <v/>
      </c>
      <c r="D62" s="395"/>
      <c r="E62" s="395"/>
      <c r="F62" s="297"/>
      <c r="G62" s="291"/>
      <c r="H62" s="291"/>
      <c r="I62" s="291"/>
      <c r="J62" s="318"/>
      <c r="K62" s="291"/>
      <c r="L62" s="293">
        <f t="shared" si="4"/>
        <v>0</v>
      </c>
    </row>
    <row r="63" spans="1:12" s="359" customFormat="1" hidden="1" x14ac:dyDescent="0.25">
      <c r="A63" s="281"/>
      <c r="B63" s="295">
        <v>31</v>
      </c>
      <c r="C63" s="296" t="str">
        <f t="shared" si="3"/>
        <v/>
      </c>
      <c r="D63" s="395"/>
      <c r="E63" s="395"/>
      <c r="F63" s="297"/>
      <c r="G63" s="291"/>
      <c r="H63" s="291"/>
      <c r="I63" s="291"/>
      <c r="J63" s="318"/>
      <c r="K63" s="291"/>
      <c r="L63" s="293">
        <f t="shared" si="4"/>
        <v>0</v>
      </c>
    </row>
    <row r="64" spans="1:12" s="359" customFormat="1" hidden="1" x14ac:dyDescent="0.25">
      <c r="A64" s="281"/>
      <c r="B64" s="295">
        <v>32</v>
      </c>
      <c r="C64" s="296" t="str">
        <f t="shared" si="3"/>
        <v/>
      </c>
      <c r="D64" s="395"/>
      <c r="E64" s="395"/>
      <c r="F64" s="297"/>
      <c r="G64" s="291"/>
      <c r="H64" s="291"/>
      <c r="I64" s="291"/>
      <c r="J64" s="318"/>
      <c r="K64" s="291"/>
      <c r="L64" s="293">
        <f t="shared" si="4"/>
        <v>0</v>
      </c>
    </row>
    <row r="65" spans="1:12" s="359" customFormat="1" hidden="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hidden="1" x14ac:dyDescent="0.25">
      <c r="A66" s="281"/>
      <c r="B66" s="295">
        <v>34</v>
      </c>
      <c r="C66" s="296" t="str">
        <f t="shared" si="5"/>
        <v/>
      </c>
      <c r="D66" s="395"/>
      <c r="E66" s="395"/>
      <c r="F66" s="297"/>
      <c r="G66" s="291"/>
      <c r="H66" s="291"/>
      <c r="I66" s="291"/>
      <c r="J66" s="318"/>
      <c r="K66" s="291"/>
      <c r="L66" s="293">
        <f t="shared" si="4"/>
        <v>0</v>
      </c>
    </row>
    <row r="67" spans="1:12" s="359" customFormat="1" hidden="1" x14ac:dyDescent="0.25">
      <c r="A67" s="281"/>
      <c r="B67" s="295">
        <v>35</v>
      </c>
      <c r="C67" s="296" t="str">
        <f t="shared" si="5"/>
        <v/>
      </c>
      <c r="D67" s="395"/>
      <c r="E67" s="395"/>
      <c r="F67" s="297"/>
      <c r="G67" s="291"/>
      <c r="H67" s="291"/>
      <c r="I67" s="291"/>
      <c r="J67" s="318"/>
      <c r="K67" s="291"/>
      <c r="L67" s="293">
        <f t="shared" si="4"/>
        <v>0</v>
      </c>
    </row>
    <row r="68" spans="1:12" s="359" customFormat="1" hidden="1" x14ac:dyDescent="0.25">
      <c r="A68" s="281"/>
      <c r="B68" s="295">
        <v>36</v>
      </c>
      <c r="C68" s="296" t="str">
        <f t="shared" si="5"/>
        <v/>
      </c>
      <c r="D68" s="395"/>
      <c r="E68" s="395"/>
      <c r="F68" s="297"/>
      <c r="G68" s="291"/>
      <c r="H68" s="291"/>
      <c r="I68" s="291"/>
      <c r="J68" s="318"/>
      <c r="K68" s="291"/>
      <c r="L68" s="293">
        <f t="shared" si="4"/>
        <v>0</v>
      </c>
    </row>
    <row r="69" spans="1:12" s="359" customFormat="1" hidden="1" x14ac:dyDescent="0.25">
      <c r="A69" s="281"/>
      <c r="B69" s="295">
        <v>37</v>
      </c>
      <c r="C69" s="296" t="str">
        <f t="shared" si="5"/>
        <v/>
      </c>
      <c r="D69" s="395"/>
      <c r="E69" s="395"/>
      <c r="F69" s="297"/>
      <c r="G69" s="291"/>
      <c r="H69" s="291"/>
      <c r="I69" s="291"/>
      <c r="J69" s="318"/>
      <c r="K69" s="291"/>
      <c r="L69" s="293">
        <f t="shared" si="4"/>
        <v>0</v>
      </c>
    </row>
    <row r="70" spans="1:12" s="359" customFormat="1" hidden="1" x14ac:dyDescent="0.25">
      <c r="A70" s="281"/>
      <c r="B70" s="295">
        <v>38</v>
      </c>
      <c r="C70" s="296" t="str">
        <f t="shared" si="5"/>
        <v/>
      </c>
      <c r="D70" s="395"/>
      <c r="E70" s="395"/>
      <c r="F70" s="297"/>
      <c r="G70" s="291"/>
      <c r="H70" s="291"/>
      <c r="I70" s="291"/>
      <c r="J70" s="318"/>
      <c r="K70" s="291"/>
      <c r="L70" s="293">
        <f t="shared" si="4"/>
        <v>0</v>
      </c>
    </row>
    <row r="71" spans="1:12" s="359" customFormat="1" hidden="1" x14ac:dyDescent="0.25">
      <c r="A71" s="281"/>
      <c r="B71" s="295">
        <v>39</v>
      </c>
      <c r="C71" s="296" t="str">
        <f t="shared" si="5"/>
        <v/>
      </c>
      <c r="D71" s="395"/>
      <c r="E71" s="395"/>
      <c r="F71" s="297"/>
      <c r="G71" s="291"/>
      <c r="H71" s="291"/>
      <c r="I71" s="291"/>
      <c r="J71" s="318"/>
      <c r="K71" s="291"/>
      <c r="L71" s="293">
        <f t="shared" si="4"/>
        <v>0</v>
      </c>
    </row>
    <row r="72" spans="1:12" s="359" customFormat="1" hidden="1" x14ac:dyDescent="0.25">
      <c r="A72" s="281"/>
      <c r="B72" s="295">
        <v>40</v>
      </c>
      <c r="C72" s="296" t="str">
        <f t="shared" si="5"/>
        <v/>
      </c>
      <c r="D72" s="395"/>
      <c r="E72" s="395"/>
      <c r="F72" s="297"/>
      <c r="G72" s="291"/>
      <c r="H72" s="291"/>
      <c r="I72" s="291"/>
      <c r="J72" s="318"/>
      <c r="K72" s="291"/>
      <c r="L72" s="293">
        <f t="shared" si="4"/>
        <v>0</v>
      </c>
    </row>
    <row r="73" spans="1:12" s="359" customFormat="1" hidden="1" x14ac:dyDescent="0.25">
      <c r="A73" s="281"/>
      <c r="B73" s="295">
        <v>41</v>
      </c>
      <c r="C73" s="296" t="str">
        <f t="shared" si="5"/>
        <v/>
      </c>
      <c r="D73" s="395"/>
      <c r="E73" s="395"/>
      <c r="F73" s="297"/>
      <c r="G73" s="291"/>
      <c r="H73" s="291"/>
      <c r="I73" s="291"/>
      <c r="J73" s="318"/>
      <c r="K73" s="291"/>
      <c r="L73" s="293">
        <f t="shared" si="4"/>
        <v>0</v>
      </c>
    </row>
    <row r="74" spans="1:12" s="359" customFormat="1" hidden="1" x14ac:dyDescent="0.25">
      <c r="A74" s="281"/>
      <c r="B74" s="295">
        <v>42</v>
      </c>
      <c r="C74" s="296" t="str">
        <f t="shared" si="5"/>
        <v/>
      </c>
      <c r="D74" s="395"/>
      <c r="E74" s="395"/>
      <c r="F74" s="297"/>
      <c r="G74" s="291"/>
      <c r="H74" s="291"/>
      <c r="I74" s="291"/>
      <c r="J74" s="318"/>
      <c r="K74" s="291"/>
      <c r="L74" s="293">
        <f t="shared" si="4"/>
        <v>0</v>
      </c>
    </row>
    <row r="75" spans="1:12" s="359" customFormat="1" hidden="1" x14ac:dyDescent="0.25">
      <c r="A75" s="281"/>
      <c r="B75" s="295">
        <v>43</v>
      </c>
      <c r="C75" s="296" t="str">
        <f t="shared" si="5"/>
        <v/>
      </c>
      <c r="D75" s="395"/>
      <c r="E75" s="395"/>
      <c r="F75" s="297"/>
      <c r="G75" s="291"/>
      <c r="H75" s="291"/>
      <c r="I75" s="291"/>
      <c r="J75" s="318"/>
      <c r="K75" s="291"/>
      <c r="L75" s="293">
        <f t="shared" si="4"/>
        <v>0</v>
      </c>
    </row>
    <row r="76" spans="1:12" s="359" customFormat="1" hidden="1" x14ac:dyDescent="0.25">
      <c r="A76" s="281"/>
      <c r="B76" s="295">
        <v>44</v>
      </c>
      <c r="C76" s="296" t="str">
        <f t="shared" si="5"/>
        <v/>
      </c>
      <c r="D76" s="395"/>
      <c r="E76" s="395"/>
      <c r="F76" s="297"/>
      <c r="G76" s="291"/>
      <c r="H76" s="291"/>
      <c r="I76" s="291"/>
      <c r="J76" s="318"/>
      <c r="K76" s="291"/>
      <c r="L76" s="293">
        <f t="shared" si="4"/>
        <v>0</v>
      </c>
    </row>
    <row r="77" spans="1:12" hidden="1" x14ac:dyDescent="0.25">
      <c r="A77" s="281"/>
      <c r="B77" s="295">
        <v>45</v>
      </c>
      <c r="C77" s="296" t="str">
        <f t="shared" si="5"/>
        <v/>
      </c>
      <c r="D77" s="395"/>
      <c r="E77" s="395"/>
      <c r="F77" s="297"/>
      <c r="G77" s="291"/>
      <c r="H77" s="291"/>
      <c r="I77" s="291"/>
      <c r="J77" s="318"/>
      <c r="K77" s="291"/>
      <c r="L77" s="293">
        <f>SUM(G77:K77)</f>
        <v>0</v>
      </c>
    </row>
    <row r="78" spans="1:12" hidden="1" x14ac:dyDescent="0.25">
      <c r="A78" s="281"/>
      <c r="B78" s="295">
        <v>46</v>
      </c>
      <c r="C78" s="296" t="str">
        <f t="shared" si="5"/>
        <v/>
      </c>
      <c r="D78" s="395"/>
      <c r="E78" s="395"/>
      <c r="F78" s="297"/>
      <c r="G78" s="291"/>
      <c r="H78" s="291"/>
      <c r="I78" s="291"/>
      <c r="J78" s="318"/>
      <c r="K78" s="291"/>
      <c r="L78" s="293">
        <f t="shared" si="4"/>
        <v>0</v>
      </c>
    </row>
    <row r="79" spans="1:12" hidden="1" x14ac:dyDescent="0.25">
      <c r="A79" s="281"/>
      <c r="B79" s="295">
        <v>47</v>
      </c>
      <c r="C79" s="296" t="str">
        <f t="shared" si="5"/>
        <v/>
      </c>
      <c r="D79" s="395"/>
      <c r="E79" s="395"/>
      <c r="F79" s="297"/>
      <c r="G79" s="291"/>
      <c r="H79" s="291"/>
      <c r="I79" s="291"/>
      <c r="J79" s="318"/>
      <c r="K79" s="291"/>
      <c r="L79" s="293">
        <f t="shared" si="4"/>
        <v>0</v>
      </c>
    </row>
    <row r="80" spans="1:12" hidden="1" x14ac:dyDescent="0.25">
      <c r="A80" s="281"/>
      <c r="B80" s="295">
        <v>48</v>
      </c>
      <c r="C80" s="296" t="str">
        <f t="shared" si="5"/>
        <v/>
      </c>
      <c r="D80" s="395"/>
      <c r="E80" s="395"/>
      <c r="F80" s="297"/>
      <c r="G80" s="291"/>
      <c r="H80" s="291"/>
      <c r="I80" s="291"/>
      <c r="J80" s="318"/>
      <c r="K80" s="291"/>
      <c r="L80" s="293">
        <f t="shared" si="4"/>
        <v>0</v>
      </c>
    </row>
    <row r="81" spans="1:12" hidden="1" x14ac:dyDescent="0.25">
      <c r="A81" s="281"/>
      <c r="B81" s="295">
        <v>49</v>
      </c>
      <c r="C81" s="296" t="str">
        <f t="shared" si="5"/>
        <v/>
      </c>
      <c r="D81" s="395"/>
      <c r="E81" s="395"/>
      <c r="F81" s="297"/>
      <c r="G81" s="291"/>
      <c r="H81" s="291"/>
      <c r="I81" s="291"/>
      <c r="J81" s="318"/>
      <c r="K81" s="291"/>
      <c r="L81" s="293">
        <f t="shared" si="4"/>
        <v>0</v>
      </c>
    </row>
    <row r="82" spans="1:12" hidden="1" x14ac:dyDescent="0.25">
      <c r="A82" s="281"/>
      <c r="B82" s="295">
        <v>50</v>
      </c>
      <c r="C82" s="296" t="str">
        <f t="shared" si="5"/>
        <v/>
      </c>
      <c r="D82" s="401"/>
      <c r="E82" s="401"/>
      <c r="F82" s="297"/>
      <c r="G82" s="291"/>
      <c r="H82" s="291"/>
      <c r="I82" s="291"/>
      <c r="J82" s="318"/>
      <c r="K82" s="291"/>
      <c r="L82" s="293">
        <f t="shared" si="4"/>
        <v>0</v>
      </c>
    </row>
    <row r="83" spans="1:12" hidden="1" x14ac:dyDescent="0.25">
      <c r="A83" s="281"/>
      <c r="B83" s="295">
        <v>51</v>
      </c>
      <c r="C83" s="296" t="str">
        <f t="shared" si="5"/>
        <v/>
      </c>
      <c r="D83" s="364"/>
      <c r="E83" s="364"/>
      <c r="F83" s="297"/>
      <c r="G83" s="291"/>
      <c r="H83" s="291"/>
      <c r="I83" s="291"/>
      <c r="J83" s="318"/>
      <c r="K83" s="291"/>
      <c r="L83" s="293">
        <f t="shared" si="4"/>
        <v>0</v>
      </c>
    </row>
    <row r="84" spans="1:12" hidden="1" x14ac:dyDescent="0.25">
      <c r="A84" s="281"/>
      <c r="B84" s="295">
        <v>52</v>
      </c>
      <c r="C84" s="296" t="str">
        <f t="shared" si="5"/>
        <v/>
      </c>
      <c r="D84" s="364"/>
      <c r="E84" s="364"/>
      <c r="F84" s="297"/>
      <c r="G84" s="291"/>
      <c r="H84" s="291"/>
      <c r="I84" s="291"/>
      <c r="J84" s="318"/>
      <c r="K84" s="291"/>
      <c r="L84" s="293">
        <f t="shared" si="4"/>
        <v>0</v>
      </c>
    </row>
    <row r="85" spans="1:12" hidden="1" x14ac:dyDescent="0.25">
      <c r="A85" s="281"/>
      <c r="B85" s="295">
        <v>53</v>
      </c>
      <c r="C85" s="296" t="str">
        <f t="shared" si="5"/>
        <v/>
      </c>
      <c r="D85" s="364"/>
      <c r="E85" s="364"/>
      <c r="F85" s="297"/>
      <c r="G85" s="291"/>
      <c r="H85" s="291"/>
      <c r="I85" s="291"/>
      <c r="J85" s="318"/>
      <c r="K85" s="291"/>
      <c r="L85" s="293">
        <f t="shared" si="4"/>
        <v>0</v>
      </c>
    </row>
    <row r="86" spans="1:12" hidden="1" x14ac:dyDescent="0.25">
      <c r="A86" s="281"/>
      <c r="B86" s="295">
        <v>54</v>
      </c>
      <c r="C86" s="296" t="str">
        <f t="shared" si="5"/>
        <v/>
      </c>
      <c r="D86" s="364"/>
      <c r="E86" s="364"/>
      <c r="F86" s="297"/>
      <c r="G86" s="291"/>
      <c r="H86" s="291"/>
      <c r="I86" s="291"/>
      <c r="J86" s="318"/>
      <c r="K86" s="291"/>
      <c r="L86" s="293">
        <f t="shared" si="4"/>
        <v>0</v>
      </c>
    </row>
    <row r="87" spans="1:12" hidden="1" x14ac:dyDescent="0.25">
      <c r="A87" s="281"/>
      <c r="B87" s="295">
        <v>55</v>
      </c>
      <c r="C87" s="296" t="str">
        <f t="shared" si="5"/>
        <v/>
      </c>
      <c r="D87" s="364"/>
      <c r="E87" s="364"/>
      <c r="F87" s="297"/>
      <c r="G87" s="291"/>
      <c r="H87" s="291"/>
      <c r="I87" s="291"/>
      <c r="J87" s="318"/>
      <c r="K87" s="291"/>
      <c r="L87" s="293">
        <f t="shared" si="4"/>
        <v>0</v>
      </c>
    </row>
    <row r="88" spans="1:12" hidden="1" x14ac:dyDescent="0.25">
      <c r="A88" s="281"/>
      <c r="B88" s="295">
        <v>56</v>
      </c>
      <c r="C88" s="296" t="str">
        <f t="shared" si="5"/>
        <v/>
      </c>
      <c r="D88" s="364"/>
      <c r="E88" s="364"/>
      <c r="F88" s="297"/>
      <c r="G88" s="291"/>
      <c r="H88" s="291"/>
      <c r="I88" s="291"/>
      <c r="J88" s="318"/>
      <c r="K88" s="291"/>
      <c r="L88" s="293">
        <f t="shared" si="4"/>
        <v>0</v>
      </c>
    </row>
    <row r="89" spans="1:12" hidden="1" x14ac:dyDescent="0.25">
      <c r="A89" s="281"/>
      <c r="B89" s="295">
        <v>57</v>
      </c>
      <c r="C89" s="296" t="str">
        <f t="shared" si="5"/>
        <v/>
      </c>
      <c r="D89" s="364"/>
      <c r="E89" s="364"/>
      <c r="F89" s="297"/>
      <c r="G89" s="291"/>
      <c r="H89" s="291"/>
      <c r="I89" s="291"/>
      <c r="J89" s="318"/>
      <c r="K89" s="291"/>
      <c r="L89" s="293">
        <f t="shared" si="4"/>
        <v>0</v>
      </c>
    </row>
    <row r="90" spans="1:12" hidden="1" x14ac:dyDescent="0.25">
      <c r="A90" s="281"/>
      <c r="B90" s="295">
        <v>58</v>
      </c>
      <c r="C90" s="296" t="str">
        <f t="shared" si="5"/>
        <v/>
      </c>
      <c r="D90" s="364"/>
      <c r="E90" s="364"/>
      <c r="F90" s="297"/>
      <c r="G90" s="291"/>
      <c r="H90" s="291"/>
      <c r="I90" s="291"/>
      <c r="J90" s="318"/>
      <c r="K90" s="291"/>
      <c r="L90" s="293">
        <f t="shared" si="4"/>
        <v>0</v>
      </c>
    </row>
    <row r="91" spans="1:12" hidden="1" x14ac:dyDescent="0.25">
      <c r="A91" s="281"/>
      <c r="B91" s="295">
        <v>59</v>
      </c>
      <c r="C91" s="296" t="str">
        <f t="shared" si="5"/>
        <v/>
      </c>
      <c r="D91" s="364"/>
      <c r="E91" s="364"/>
      <c r="F91" s="297"/>
      <c r="G91" s="291"/>
      <c r="H91" s="291"/>
      <c r="I91" s="291"/>
      <c r="J91" s="318"/>
      <c r="K91" s="291"/>
      <c r="L91" s="293">
        <f t="shared" si="4"/>
        <v>0</v>
      </c>
    </row>
    <row r="92" spans="1:12" hidden="1" x14ac:dyDescent="0.25">
      <c r="A92" s="281"/>
      <c r="B92" s="295">
        <v>60</v>
      </c>
      <c r="C92" s="296" t="str">
        <f t="shared" si="5"/>
        <v/>
      </c>
      <c r="D92" s="364"/>
      <c r="E92" s="364"/>
      <c r="F92" s="297"/>
      <c r="G92" s="291"/>
      <c r="H92" s="291"/>
      <c r="I92" s="291"/>
      <c r="J92" s="318"/>
      <c r="K92" s="291"/>
      <c r="L92" s="293">
        <f t="shared" si="4"/>
        <v>0</v>
      </c>
    </row>
    <row r="93" spans="1:12" hidden="1" x14ac:dyDescent="0.25">
      <c r="A93" s="281"/>
      <c r="B93" s="295">
        <v>61</v>
      </c>
      <c r="C93" s="296" t="str">
        <f t="shared" si="5"/>
        <v/>
      </c>
      <c r="D93" s="364"/>
      <c r="E93" s="364"/>
      <c r="F93" s="297"/>
      <c r="G93" s="291"/>
      <c r="H93" s="291"/>
      <c r="I93" s="291"/>
      <c r="J93" s="318"/>
      <c r="K93" s="291"/>
      <c r="L93" s="293">
        <f t="shared" si="4"/>
        <v>0</v>
      </c>
    </row>
    <row r="94" spans="1:12" hidden="1" x14ac:dyDescent="0.25">
      <c r="A94" s="281"/>
      <c r="B94" s="295">
        <v>62</v>
      </c>
      <c r="C94" s="296" t="str">
        <f t="shared" si="5"/>
        <v/>
      </c>
      <c r="D94" s="364"/>
      <c r="E94" s="364"/>
      <c r="F94" s="297"/>
      <c r="G94" s="291"/>
      <c r="H94" s="291"/>
      <c r="I94" s="291"/>
      <c r="J94" s="318"/>
      <c r="K94" s="291"/>
      <c r="L94" s="293">
        <f t="shared" si="4"/>
        <v>0</v>
      </c>
    </row>
    <row r="95" spans="1:12" hidden="1" x14ac:dyDescent="0.25">
      <c r="A95" s="281"/>
      <c r="B95" s="295">
        <v>63</v>
      </c>
      <c r="C95" s="296" t="str">
        <f t="shared" si="5"/>
        <v/>
      </c>
      <c r="D95" s="364"/>
      <c r="E95" s="364"/>
      <c r="F95" s="297"/>
      <c r="G95" s="291"/>
      <c r="H95" s="291"/>
      <c r="I95" s="291"/>
      <c r="J95" s="318"/>
      <c r="K95" s="291"/>
      <c r="L95" s="293">
        <f t="shared" si="4"/>
        <v>0</v>
      </c>
    </row>
    <row r="96" spans="1:12" hidden="1" x14ac:dyDescent="0.25">
      <c r="A96" s="281"/>
      <c r="B96" s="295">
        <v>64</v>
      </c>
      <c r="C96" s="296" t="str">
        <f t="shared" si="5"/>
        <v/>
      </c>
      <c r="D96" s="364"/>
      <c r="E96" s="364"/>
      <c r="F96" s="297"/>
      <c r="G96" s="291"/>
      <c r="H96" s="291"/>
      <c r="I96" s="291"/>
      <c r="J96" s="318"/>
      <c r="K96" s="291"/>
      <c r="L96" s="293">
        <f t="shared" si="4"/>
        <v>0</v>
      </c>
    </row>
    <row r="97" spans="1:12" hidden="1"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hidden="1" x14ac:dyDescent="0.25">
      <c r="A98" s="281"/>
      <c r="B98" s="295">
        <v>66</v>
      </c>
      <c r="C98" s="296" t="str">
        <f t="shared" si="6"/>
        <v/>
      </c>
      <c r="D98" s="364"/>
      <c r="E98" s="364"/>
      <c r="F98" s="297"/>
      <c r="G98" s="291"/>
      <c r="H98" s="291"/>
      <c r="I98" s="291"/>
      <c r="J98" s="318"/>
      <c r="K98" s="291"/>
      <c r="L98" s="293">
        <f t="shared" ref="L98:L109" si="7">SUM(G98:K98)</f>
        <v>0</v>
      </c>
    </row>
    <row r="99" spans="1:12" hidden="1" x14ac:dyDescent="0.25">
      <c r="A99" s="281"/>
      <c r="B99" s="295">
        <v>67</v>
      </c>
      <c r="C99" s="296" t="str">
        <f t="shared" si="6"/>
        <v/>
      </c>
      <c r="D99" s="364"/>
      <c r="E99" s="364"/>
      <c r="F99" s="297"/>
      <c r="G99" s="291"/>
      <c r="H99" s="291"/>
      <c r="I99" s="291"/>
      <c r="J99" s="318"/>
      <c r="K99" s="291"/>
      <c r="L99" s="293">
        <f t="shared" si="7"/>
        <v>0</v>
      </c>
    </row>
    <row r="100" spans="1:12" hidden="1" x14ac:dyDescent="0.25">
      <c r="A100" s="281"/>
      <c r="B100" s="295">
        <v>68</v>
      </c>
      <c r="C100" s="296" t="str">
        <f t="shared" si="6"/>
        <v/>
      </c>
      <c r="D100" s="364"/>
      <c r="E100" s="364"/>
      <c r="F100" s="297"/>
      <c r="G100" s="291"/>
      <c r="H100" s="291"/>
      <c r="I100" s="291"/>
      <c r="J100" s="318"/>
      <c r="K100" s="291"/>
      <c r="L100" s="293">
        <f t="shared" si="7"/>
        <v>0</v>
      </c>
    </row>
    <row r="101" spans="1:12" hidden="1" x14ac:dyDescent="0.25">
      <c r="A101" s="281"/>
      <c r="B101" s="295">
        <v>69</v>
      </c>
      <c r="C101" s="296" t="str">
        <f t="shared" si="6"/>
        <v/>
      </c>
      <c r="D101" s="364"/>
      <c r="E101" s="364"/>
      <c r="F101" s="297"/>
      <c r="G101" s="291"/>
      <c r="H101" s="291"/>
      <c r="I101" s="291"/>
      <c r="J101" s="318"/>
      <c r="K101" s="291"/>
      <c r="L101" s="293">
        <f t="shared" si="7"/>
        <v>0</v>
      </c>
    </row>
    <row r="102" spans="1:12" hidden="1" x14ac:dyDescent="0.25">
      <c r="A102" s="281"/>
      <c r="B102" s="295">
        <v>70</v>
      </c>
      <c r="C102" s="296" t="str">
        <f t="shared" si="6"/>
        <v/>
      </c>
      <c r="D102" s="364"/>
      <c r="E102" s="364"/>
      <c r="F102" s="297"/>
      <c r="G102" s="291"/>
      <c r="H102" s="291"/>
      <c r="I102" s="291"/>
      <c r="J102" s="318"/>
      <c r="K102" s="291"/>
      <c r="L102" s="293">
        <f t="shared" si="7"/>
        <v>0</v>
      </c>
    </row>
    <row r="103" spans="1:12" hidden="1" x14ac:dyDescent="0.25">
      <c r="A103" s="281"/>
      <c r="B103" s="295">
        <v>71</v>
      </c>
      <c r="C103" s="296" t="str">
        <f t="shared" si="6"/>
        <v/>
      </c>
      <c r="D103" s="364"/>
      <c r="E103" s="364"/>
      <c r="F103" s="297"/>
      <c r="G103" s="291"/>
      <c r="H103" s="291"/>
      <c r="I103" s="291"/>
      <c r="J103" s="318"/>
      <c r="K103" s="291"/>
      <c r="L103" s="293">
        <f t="shared" si="7"/>
        <v>0</v>
      </c>
    </row>
    <row r="104" spans="1:12" hidden="1" x14ac:dyDescent="0.25">
      <c r="A104" s="281"/>
      <c r="B104" s="295">
        <v>72</v>
      </c>
      <c r="C104" s="296" t="str">
        <f t="shared" si="6"/>
        <v/>
      </c>
      <c r="D104" s="364"/>
      <c r="E104" s="364"/>
      <c r="F104" s="297"/>
      <c r="G104" s="291"/>
      <c r="H104" s="291"/>
      <c r="I104" s="291"/>
      <c r="J104" s="318"/>
      <c r="K104" s="291"/>
      <c r="L104" s="293">
        <f t="shared" si="7"/>
        <v>0</v>
      </c>
    </row>
    <row r="105" spans="1:12" hidden="1" x14ac:dyDescent="0.25">
      <c r="A105" s="281"/>
      <c r="B105" s="295">
        <v>73</v>
      </c>
      <c r="C105" s="296" t="str">
        <f t="shared" si="6"/>
        <v/>
      </c>
      <c r="D105" s="364"/>
      <c r="E105" s="364"/>
      <c r="F105" s="297"/>
      <c r="G105" s="291"/>
      <c r="H105" s="291"/>
      <c r="I105" s="291"/>
      <c r="J105" s="318"/>
      <c r="K105" s="291"/>
      <c r="L105" s="293">
        <f t="shared" si="7"/>
        <v>0</v>
      </c>
    </row>
    <row r="106" spans="1:12" hidden="1" x14ac:dyDescent="0.25">
      <c r="A106" s="281"/>
      <c r="B106" s="295">
        <v>74</v>
      </c>
      <c r="C106" s="296" t="str">
        <f t="shared" si="6"/>
        <v/>
      </c>
      <c r="D106" s="364"/>
      <c r="E106" s="364"/>
      <c r="F106" s="297"/>
      <c r="G106" s="291"/>
      <c r="H106" s="291"/>
      <c r="I106" s="291"/>
      <c r="J106" s="318"/>
      <c r="K106" s="291"/>
      <c r="L106" s="293">
        <f t="shared" si="7"/>
        <v>0</v>
      </c>
    </row>
    <row r="107" spans="1:12" hidden="1" x14ac:dyDescent="0.25">
      <c r="A107" s="281"/>
      <c r="B107" s="295">
        <v>75</v>
      </c>
      <c r="C107" s="296" t="str">
        <f t="shared" si="6"/>
        <v/>
      </c>
      <c r="D107" s="364"/>
      <c r="E107" s="364"/>
      <c r="F107" s="297"/>
      <c r="G107" s="291"/>
      <c r="H107" s="291"/>
      <c r="I107" s="291"/>
      <c r="J107" s="318"/>
      <c r="K107" s="291"/>
      <c r="L107" s="293">
        <f t="shared" si="7"/>
        <v>0</v>
      </c>
    </row>
    <row r="108" spans="1:12" hidden="1" x14ac:dyDescent="0.25">
      <c r="A108" s="281"/>
      <c r="B108" s="295">
        <v>76</v>
      </c>
      <c r="C108" s="296" t="str">
        <f t="shared" si="6"/>
        <v/>
      </c>
      <c r="D108" s="364"/>
      <c r="E108" s="364"/>
      <c r="F108" s="297"/>
      <c r="G108" s="291"/>
      <c r="H108" s="291"/>
      <c r="I108" s="291"/>
      <c r="J108" s="318"/>
      <c r="K108" s="291"/>
      <c r="L108" s="293">
        <f t="shared" si="7"/>
        <v>0</v>
      </c>
    </row>
    <row r="109" spans="1:12" hidden="1" x14ac:dyDescent="0.25">
      <c r="A109" s="281"/>
      <c r="B109" s="295">
        <v>77</v>
      </c>
      <c r="C109" s="296" t="str">
        <f t="shared" si="6"/>
        <v/>
      </c>
      <c r="D109" s="364"/>
      <c r="E109" s="364"/>
      <c r="F109" s="297"/>
      <c r="G109" s="291"/>
      <c r="H109" s="291"/>
      <c r="I109" s="291"/>
      <c r="J109" s="318"/>
      <c r="K109" s="291"/>
      <c r="L109" s="293">
        <f t="shared" si="7"/>
        <v>0</v>
      </c>
    </row>
    <row r="110" spans="1:12" s="359" customFormat="1" hidden="1" x14ac:dyDescent="0.25">
      <c r="A110" s="281"/>
      <c r="B110" s="295">
        <v>78</v>
      </c>
      <c r="C110" s="296" t="str">
        <f t="shared" si="6"/>
        <v/>
      </c>
      <c r="D110" s="364"/>
      <c r="E110" s="364"/>
      <c r="F110" s="297"/>
      <c r="G110" s="291"/>
      <c r="H110" s="291"/>
      <c r="I110" s="291"/>
      <c r="J110" s="318"/>
      <c r="K110" s="291"/>
      <c r="L110" s="293">
        <f>SUM(G110:K110)</f>
        <v>0</v>
      </c>
    </row>
    <row r="111" spans="1:12" s="359" customFormat="1" hidden="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hidden="1" x14ac:dyDescent="0.25">
      <c r="A112" s="281"/>
      <c r="B112" s="295">
        <v>80</v>
      </c>
      <c r="C112" s="296" t="str">
        <f t="shared" si="6"/>
        <v/>
      </c>
      <c r="D112" s="364"/>
      <c r="E112" s="364"/>
      <c r="F112" s="297"/>
      <c r="G112" s="291"/>
      <c r="H112" s="291"/>
      <c r="I112" s="291"/>
      <c r="J112" s="318"/>
      <c r="K112" s="291"/>
      <c r="L112" s="293">
        <f t="shared" si="8"/>
        <v>0</v>
      </c>
    </row>
    <row r="113" spans="1:12" s="359" customFormat="1" hidden="1" x14ac:dyDescent="0.25">
      <c r="A113" s="281"/>
      <c r="B113" s="295">
        <v>81</v>
      </c>
      <c r="C113" s="296" t="str">
        <f t="shared" si="6"/>
        <v/>
      </c>
      <c r="D113" s="364"/>
      <c r="E113" s="364"/>
      <c r="F113" s="297"/>
      <c r="G113" s="291"/>
      <c r="H113" s="291"/>
      <c r="I113" s="291"/>
      <c r="J113" s="318"/>
      <c r="K113" s="291"/>
      <c r="L113" s="293">
        <f t="shared" si="8"/>
        <v>0</v>
      </c>
    </row>
    <row r="114" spans="1:12" s="359" customFormat="1" hidden="1" x14ac:dyDescent="0.25">
      <c r="A114" s="281"/>
      <c r="B114" s="295">
        <v>82</v>
      </c>
      <c r="C114" s="296" t="str">
        <f t="shared" si="6"/>
        <v/>
      </c>
      <c r="D114" s="364"/>
      <c r="E114" s="364"/>
      <c r="F114" s="297"/>
      <c r="G114" s="291"/>
      <c r="H114" s="291"/>
      <c r="I114" s="291"/>
      <c r="J114" s="318"/>
      <c r="K114" s="291"/>
      <c r="L114" s="293">
        <f t="shared" si="8"/>
        <v>0</v>
      </c>
    </row>
    <row r="115" spans="1:12" s="359" customFormat="1" hidden="1" x14ac:dyDescent="0.25">
      <c r="A115" s="281"/>
      <c r="B115" s="295">
        <v>83</v>
      </c>
      <c r="C115" s="296" t="str">
        <f t="shared" si="6"/>
        <v/>
      </c>
      <c r="D115" s="364"/>
      <c r="E115" s="364"/>
      <c r="F115" s="297"/>
      <c r="G115" s="291"/>
      <c r="H115" s="291"/>
      <c r="I115" s="291"/>
      <c r="J115" s="318"/>
      <c r="K115" s="291"/>
      <c r="L115" s="293">
        <f t="shared" si="8"/>
        <v>0</v>
      </c>
    </row>
    <row r="116" spans="1:12" s="359" customFormat="1" hidden="1" x14ac:dyDescent="0.25">
      <c r="A116" s="281"/>
      <c r="B116" s="295">
        <v>84</v>
      </c>
      <c r="C116" s="296" t="str">
        <f t="shared" si="6"/>
        <v/>
      </c>
      <c r="D116" s="364"/>
      <c r="E116" s="364"/>
      <c r="F116" s="297"/>
      <c r="G116" s="291"/>
      <c r="H116" s="291"/>
      <c r="I116" s="291"/>
      <c r="J116" s="318"/>
      <c r="K116" s="291"/>
      <c r="L116" s="293">
        <f t="shared" si="8"/>
        <v>0</v>
      </c>
    </row>
    <row r="117" spans="1:12" s="359" customFormat="1" hidden="1" x14ac:dyDescent="0.25">
      <c r="A117" s="281"/>
      <c r="B117" s="295">
        <v>85</v>
      </c>
      <c r="C117" s="296" t="str">
        <f t="shared" si="6"/>
        <v/>
      </c>
      <c r="D117" s="364"/>
      <c r="E117" s="364"/>
      <c r="F117" s="297"/>
      <c r="G117" s="291"/>
      <c r="H117" s="291"/>
      <c r="I117" s="291"/>
      <c r="J117" s="318"/>
      <c r="K117" s="291"/>
      <c r="L117" s="293">
        <f t="shared" si="8"/>
        <v>0</v>
      </c>
    </row>
    <row r="118" spans="1:12" s="359" customFormat="1" hidden="1" x14ac:dyDescent="0.25">
      <c r="A118" s="281"/>
      <c r="B118" s="295">
        <v>86</v>
      </c>
      <c r="C118" s="296" t="str">
        <f t="shared" si="6"/>
        <v/>
      </c>
      <c r="D118" s="364"/>
      <c r="E118" s="364"/>
      <c r="F118" s="297"/>
      <c r="G118" s="291"/>
      <c r="H118" s="291"/>
      <c r="I118" s="291"/>
      <c r="J118" s="318"/>
      <c r="K118" s="291"/>
      <c r="L118" s="293">
        <f t="shared" si="8"/>
        <v>0</v>
      </c>
    </row>
    <row r="119" spans="1:12" s="359" customFormat="1" hidden="1" x14ac:dyDescent="0.25">
      <c r="A119" s="281"/>
      <c r="B119" s="295">
        <v>87</v>
      </c>
      <c r="C119" s="296" t="str">
        <f t="shared" si="6"/>
        <v/>
      </c>
      <c r="D119" s="364"/>
      <c r="E119" s="364"/>
      <c r="F119" s="297"/>
      <c r="G119" s="291"/>
      <c r="H119" s="291"/>
      <c r="I119" s="291"/>
      <c r="J119" s="318"/>
      <c r="K119" s="291"/>
      <c r="L119" s="293">
        <f t="shared" si="8"/>
        <v>0</v>
      </c>
    </row>
    <row r="120" spans="1:12" hidden="1" x14ac:dyDescent="0.25">
      <c r="A120" s="281"/>
      <c r="B120" s="295">
        <v>88</v>
      </c>
      <c r="C120" s="296" t="str">
        <f t="shared" si="6"/>
        <v/>
      </c>
      <c r="D120" s="364"/>
      <c r="E120" s="364"/>
      <c r="F120" s="297"/>
      <c r="G120" s="291"/>
      <c r="H120" s="291"/>
      <c r="I120" s="291"/>
      <c r="J120" s="318"/>
      <c r="K120" s="291"/>
      <c r="L120" s="293">
        <f>SUM(G120:K120)</f>
        <v>0</v>
      </c>
    </row>
    <row r="121" spans="1:12" hidden="1" x14ac:dyDescent="0.25">
      <c r="A121" s="281"/>
      <c r="B121" s="295">
        <v>89</v>
      </c>
      <c r="C121" s="296" t="str">
        <f t="shared" si="6"/>
        <v/>
      </c>
      <c r="D121" s="364"/>
      <c r="E121" s="364"/>
      <c r="F121" s="297"/>
      <c r="G121" s="291"/>
      <c r="H121" s="291"/>
      <c r="I121" s="291"/>
      <c r="J121" s="318"/>
      <c r="K121" s="291"/>
      <c r="L121" s="293">
        <f t="shared" ref="L121:L126" si="9">SUM(G121:K121)</f>
        <v>0</v>
      </c>
    </row>
    <row r="122" spans="1:12" hidden="1" x14ac:dyDescent="0.25">
      <c r="A122" s="281"/>
      <c r="B122" s="295">
        <v>90</v>
      </c>
      <c r="C122" s="296" t="str">
        <f t="shared" si="6"/>
        <v/>
      </c>
      <c r="D122" s="364"/>
      <c r="E122" s="364"/>
      <c r="F122" s="297"/>
      <c r="G122" s="291"/>
      <c r="H122" s="291"/>
      <c r="I122" s="291"/>
      <c r="J122" s="318"/>
      <c r="K122" s="291"/>
      <c r="L122" s="293">
        <f t="shared" si="9"/>
        <v>0</v>
      </c>
    </row>
    <row r="123" spans="1:12" hidden="1" x14ac:dyDescent="0.25">
      <c r="A123" s="281"/>
      <c r="B123" s="295">
        <v>91</v>
      </c>
      <c r="C123" s="296" t="str">
        <f t="shared" si="6"/>
        <v/>
      </c>
      <c r="D123" s="364"/>
      <c r="E123" s="364"/>
      <c r="F123" s="297"/>
      <c r="G123" s="291"/>
      <c r="H123" s="291"/>
      <c r="I123" s="291"/>
      <c r="J123" s="318"/>
      <c r="K123" s="291"/>
      <c r="L123" s="293">
        <f>SUM(G123:K123)</f>
        <v>0</v>
      </c>
    </row>
    <row r="124" spans="1:12" hidden="1" x14ac:dyDescent="0.25">
      <c r="A124" s="281"/>
      <c r="B124" s="295">
        <v>92</v>
      </c>
      <c r="C124" s="296" t="str">
        <f t="shared" si="6"/>
        <v/>
      </c>
      <c r="D124" s="364"/>
      <c r="E124" s="364"/>
      <c r="F124" s="297"/>
      <c r="G124" s="291"/>
      <c r="H124" s="291"/>
      <c r="I124" s="291"/>
      <c r="J124" s="318"/>
      <c r="K124" s="291"/>
      <c r="L124" s="293">
        <f t="shared" si="9"/>
        <v>0</v>
      </c>
    </row>
    <row r="125" spans="1:12" hidden="1" x14ac:dyDescent="0.25">
      <c r="A125" s="281"/>
      <c r="B125" s="295">
        <v>93</v>
      </c>
      <c r="C125" s="296" t="str">
        <f t="shared" si="6"/>
        <v/>
      </c>
      <c r="D125" s="364"/>
      <c r="E125" s="364"/>
      <c r="F125" s="297"/>
      <c r="G125" s="291"/>
      <c r="H125" s="291"/>
      <c r="I125" s="291"/>
      <c r="J125" s="318"/>
      <c r="K125" s="291"/>
      <c r="L125" s="293">
        <f t="shared" si="9"/>
        <v>0</v>
      </c>
    </row>
    <row r="126" spans="1:12" hidden="1" x14ac:dyDescent="0.25">
      <c r="A126" s="281"/>
      <c r="B126" s="295">
        <v>94</v>
      </c>
      <c r="C126" s="296" t="str">
        <f t="shared" si="6"/>
        <v/>
      </c>
      <c r="D126" s="364"/>
      <c r="E126" s="364"/>
      <c r="F126" s="297"/>
      <c r="G126" s="291"/>
      <c r="H126" s="291"/>
      <c r="I126" s="291"/>
      <c r="J126" s="318"/>
      <c r="K126" s="291"/>
      <c r="L126" s="293">
        <f t="shared" si="9"/>
        <v>0</v>
      </c>
    </row>
    <row r="127" spans="1:12" s="359" customFormat="1" hidden="1" x14ac:dyDescent="0.25">
      <c r="A127" s="281"/>
      <c r="B127" s="295">
        <v>95</v>
      </c>
      <c r="C127" s="296" t="str">
        <f t="shared" si="6"/>
        <v/>
      </c>
      <c r="D127" s="364"/>
      <c r="E127" s="364"/>
      <c r="F127" s="297"/>
      <c r="G127" s="291"/>
      <c r="H127" s="291"/>
      <c r="I127" s="291"/>
      <c r="J127" s="318"/>
      <c r="K127" s="291"/>
      <c r="L127" s="293">
        <f>SUM(G127:K127)</f>
        <v>0</v>
      </c>
    </row>
    <row r="128" spans="1:12" s="359" customFormat="1" hidden="1" x14ac:dyDescent="0.25">
      <c r="A128" s="281"/>
      <c r="B128" s="295">
        <v>96</v>
      </c>
      <c r="C128" s="296" t="str">
        <f t="shared" si="6"/>
        <v/>
      </c>
      <c r="D128" s="364"/>
      <c r="E128" s="364"/>
      <c r="F128" s="297"/>
      <c r="G128" s="291"/>
      <c r="H128" s="291"/>
      <c r="I128" s="291"/>
      <c r="J128" s="318"/>
      <c r="K128" s="291"/>
      <c r="L128" s="293">
        <f t="shared" ref="L128" si="10">SUM(G128:K128)</f>
        <v>0</v>
      </c>
    </row>
    <row r="129" spans="1:12" hidden="1" x14ac:dyDescent="0.25">
      <c r="A129" s="281"/>
      <c r="B129" s="295">
        <v>97</v>
      </c>
      <c r="C129" s="296" t="str">
        <f t="shared" si="6"/>
        <v/>
      </c>
      <c r="D129" s="364"/>
      <c r="E129" s="364"/>
      <c r="F129" s="297"/>
      <c r="G129" s="291"/>
      <c r="H129" s="291"/>
      <c r="I129" s="291"/>
      <c r="J129" s="318"/>
      <c r="K129" s="291"/>
      <c r="L129" s="293">
        <f>SUM(G129:K129)</f>
        <v>0</v>
      </c>
    </row>
    <row r="130" spans="1:12" hidden="1" x14ac:dyDescent="0.25">
      <c r="A130" s="281"/>
      <c r="B130" s="295">
        <v>98</v>
      </c>
      <c r="C130" s="296" t="str">
        <f t="shared" si="6"/>
        <v/>
      </c>
      <c r="D130" s="364"/>
      <c r="E130" s="364"/>
      <c r="F130" s="297"/>
      <c r="G130" s="291"/>
      <c r="H130" s="291"/>
      <c r="I130" s="291"/>
      <c r="J130" s="318"/>
      <c r="K130" s="291"/>
      <c r="L130" s="293">
        <f t="shared" ref="L130:L132" si="11">SUM(G130:K130)</f>
        <v>0</v>
      </c>
    </row>
    <row r="131" spans="1:12" hidden="1" x14ac:dyDescent="0.25">
      <c r="A131" s="281"/>
      <c r="B131" s="295">
        <v>99</v>
      </c>
      <c r="C131" s="296" t="str">
        <f t="shared" si="6"/>
        <v/>
      </c>
      <c r="D131" s="364"/>
      <c r="E131" s="364"/>
      <c r="F131" s="297"/>
      <c r="G131" s="291"/>
      <c r="H131" s="291"/>
      <c r="I131" s="291"/>
      <c r="J131" s="318"/>
      <c r="K131" s="291"/>
      <c r="L131" s="293">
        <f t="shared" si="11"/>
        <v>0</v>
      </c>
    </row>
    <row r="132" spans="1:12" hidden="1" x14ac:dyDescent="0.25">
      <c r="A132" s="281"/>
      <c r="B132" s="295">
        <v>100</v>
      </c>
      <c r="C132" s="296" t="str">
        <f t="shared" si="6"/>
        <v/>
      </c>
      <c r="D132" s="402"/>
      <c r="E132" s="402"/>
      <c r="F132" s="298"/>
      <c r="G132" s="291"/>
      <c r="H132" s="291"/>
      <c r="I132" s="291"/>
      <c r="J132" s="349"/>
      <c r="K132" s="291"/>
      <c r="L132" s="293">
        <f t="shared" si="11"/>
        <v>0</v>
      </c>
    </row>
    <row r="133" spans="1:12" hidden="1"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zoomScale="60" zoomScaleNormal="60" zoomScaleSheetLayoutView="40" zoomScalePageLayoutView="80" workbookViewId="0">
      <selection activeCell="H20" sqref="H20"/>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1.140625" style="108"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0" t="s">
        <v>1</v>
      </c>
      <c r="C7" s="441"/>
      <c r="D7" s="9" t="str">
        <f>IF(ISBLANK('1. Information'!D8),"",'1. Information'!D8)</f>
        <v>San Bernardino</v>
      </c>
      <c r="F7" s="94" t="s">
        <v>2</v>
      </c>
      <c r="G7" s="109">
        <f>IF(ISBLANK('1. Information'!D7),"",'1. Information'!D7)</f>
        <v>43462</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0" t="s">
        <v>30</v>
      </c>
      <c r="H12" s="438"/>
      <c r="I12" s="438"/>
      <c r="J12" s="441"/>
      <c r="K12" s="303"/>
      <c r="L12"/>
      <c r="M12"/>
      <c r="N12"/>
      <c r="O12"/>
      <c r="P12"/>
      <c r="Q12"/>
      <c r="AL12" s="108"/>
      <c r="AM12" s="108"/>
      <c r="AN12" s="108"/>
    </row>
    <row r="13" spans="2:40" ht="47.25" customHeight="1" x14ac:dyDescent="0.25">
      <c r="C13" s="452"/>
      <c r="D13" s="452"/>
      <c r="E13" s="452"/>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6" t="s">
        <v>3</v>
      </c>
      <c r="D14" s="446"/>
      <c r="E14" s="442"/>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6" t="s">
        <v>133</v>
      </c>
      <c r="D15" s="446"/>
      <c r="E15" s="442"/>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3" t="s">
        <v>149</v>
      </c>
      <c r="D16" s="453"/>
      <c r="E16" s="454"/>
      <c r="F16" s="388">
        <f>2645553+561901+556840-50000+2</f>
        <v>3714296</v>
      </c>
      <c r="G16" s="387"/>
      <c r="H16" s="387"/>
      <c r="I16" s="387"/>
      <c r="J16" s="387"/>
      <c r="K16" s="292">
        <f t="shared" si="0"/>
        <v>3714296</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6" t="s">
        <v>228</v>
      </c>
      <c r="D17" s="446"/>
      <c r="E17" s="442"/>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6" t="s">
        <v>215</v>
      </c>
      <c r="D18" s="446"/>
      <c r="E18" s="442"/>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6" t="s">
        <v>217</v>
      </c>
      <c r="D19" s="446"/>
      <c r="E19" s="442"/>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5" t="s">
        <v>150</v>
      </c>
      <c r="D20" s="445"/>
      <c r="E20" s="445"/>
      <c r="F20" s="315">
        <f>SUMIF($G$36:$G$135,"Combined Summary",L$36:L$135) + SUMIF($F$36:$F$135,"Standalone",L$36:L$135)</f>
        <v>15464136</v>
      </c>
      <c r="G20" s="119">
        <f>SUMIF($G$36:$G$135,"Combined Summary",M$36:M$135) + SUMIF($F$36:$F$135,"Standalone",M$36:M$135)</f>
        <v>5140909</v>
      </c>
      <c r="H20" s="119">
        <f>SUMIF($G$36:$G$135,"Combined Summary",N$36:N$135) + SUMIF($F$36:$F$135,"Standalone",N$36:N$135)</f>
        <v>0</v>
      </c>
      <c r="I20" s="119">
        <f>SUMIF($G$36:$G$135,"Combined Summary",O$36:O$135) + SUMIF($F$36:$F$135,"Standalone",O$36:O$135)</f>
        <v>5149734</v>
      </c>
      <c r="J20" s="119">
        <f>SUMIF($G$36:$G$135,"Combined Summary",P$36:P$135) + SUMIF($F$36:$F$135,"Standalone",P$36:P$135)</f>
        <v>4350318</v>
      </c>
      <c r="K20" s="293">
        <f t="shared" si="0"/>
        <v>30105097</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8" t="s">
        <v>229</v>
      </c>
      <c r="D21" s="458"/>
      <c r="E21" s="458"/>
      <c r="F21" s="8">
        <f>SUM(F14:F16,F19:F20)</f>
        <v>19178432</v>
      </c>
      <c r="G21" s="8">
        <f t="shared" ref="G21:K21" si="1">SUM(G14:G16,G19:G20)</f>
        <v>5140909</v>
      </c>
      <c r="H21" s="8">
        <f t="shared" si="1"/>
        <v>0</v>
      </c>
      <c r="I21" s="8">
        <f t="shared" si="1"/>
        <v>5149734</v>
      </c>
      <c r="J21" s="8">
        <f t="shared" si="1"/>
        <v>4350318</v>
      </c>
      <c r="K21" s="8">
        <f t="shared" si="1"/>
        <v>33819393</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7" t="s">
        <v>234</v>
      </c>
      <c r="G26" s="455" t="s">
        <v>233</v>
      </c>
      <c r="H26" s="110"/>
      <c r="I26" s="110"/>
      <c r="J26" s="110"/>
      <c r="K26" s="110"/>
      <c r="L26" s="110"/>
      <c r="M26" s="110"/>
      <c r="N26" s="110"/>
      <c r="O26" s="110"/>
      <c r="P26" s="110"/>
      <c r="Q26" s="110"/>
    </row>
    <row r="27" spans="2:40" ht="15" customHeight="1" x14ac:dyDescent="0.25">
      <c r="B27" s="99"/>
      <c r="C27" s="99"/>
      <c r="D27" s="99"/>
      <c r="E27" s="99"/>
      <c r="F27" s="457"/>
      <c r="G27" s="455"/>
      <c r="H27" s="110"/>
      <c r="I27" s="110"/>
      <c r="J27" s="110"/>
      <c r="K27" s="110"/>
      <c r="L27" s="110"/>
      <c r="M27" s="110"/>
      <c r="N27" s="110"/>
      <c r="O27" s="110"/>
      <c r="P27" s="110"/>
      <c r="Q27" s="110"/>
    </row>
    <row r="28" spans="2:40" x14ac:dyDescent="0.25">
      <c r="B28" s="99"/>
      <c r="C28" s="99"/>
      <c r="D28" s="99"/>
      <c r="E28" s="99"/>
      <c r="F28" s="457"/>
      <c r="G28" s="456"/>
      <c r="H28" s="110"/>
      <c r="I28" s="110"/>
      <c r="J28" s="110"/>
      <c r="K28" s="110"/>
      <c r="L28" s="110"/>
      <c r="M28" s="110"/>
      <c r="N28" s="110"/>
      <c r="O28" s="110"/>
      <c r="P28" s="110"/>
      <c r="Q28" s="110"/>
    </row>
    <row r="29" spans="2:40" ht="51.75" customHeight="1" x14ac:dyDescent="0.25">
      <c r="B29" s="130">
        <v>1</v>
      </c>
      <c r="C29" s="449" t="s">
        <v>245</v>
      </c>
      <c r="D29" s="450"/>
      <c r="E29" s="451"/>
      <c r="F29" s="10">
        <f>IF(F21=0,"",((SUMPRODUCT($K$36:$K$135,$L$36:$L$135)+(F19*G29))/$F$21))</f>
        <v>0.44550977629453747</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8" t="s">
        <v>165</v>
      </c>
      <c r="E34" s="438"/>
      <c r="F34" s="438"/>
      <c r="G34" s="438"/>
      <c r="H34" s="438"/>
      <c r="I34" s="438"/>
      <c r="J34" s="438"/>
      <c r="K34" s="438"/>
      <c r="L34" s="340" t="s">
        <v>28</v>
      </c>
      <c r="M34" s="440" t="s">
        <v>30</v>
      </c>
      <c r="N34" s="438"/>
      <c r="O34" s="438"/>
      <c r="P34" s="441"/>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36</v>
      </c>
      <c r="D36" s="421" t="s">
        <v>359</v>
      </c>
      <c r="E36" s="416"/>
      <c r="F36" s="416" t="s">
        <v>143</v>
      </c>
      <c r="G36" s="417" t="s">
        <v>136</v>
      </c>
      <c r="H36" s="416"/>
      <c r="I36" s="134">
        <v>1</v>
      </c>
      <c r="J36" s="134">
        <v>0.76</v>
      </c>
      <c r="K36" s="350">
        <f>IF(OR(G36="Combined Summary",F36="Standalone"),(SUMPRODUCT(--(D$36:D$135=D36),I$36:I$135,J$36:J$135)),"")</f>
        <v>0.76</v>
      </c>
      <c r="L36" s="291">
        <f>3081157</f>
        <v>3081157</v>
      </c>
      <c r="M36" s="352"/>
      <c r="N36" s="116"/>
      <c r="O36" s="116"/>
      <c r="P36" s="116"/>
      <c r="Q36" s="351">
        <f>SUM(L36:P36)</f>
        <v>3081157</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36</v>
      </c>
      <c r="D37" s="421" t="s">
        <v>340</v>
      </c>
      <c r="E37" s="416"/>
      <c r="F37" s="416" t="s">
        <v>143</v>
      </c>
      <c r="G37" s="417" t="s">
        <v>136</v>
      </c>
      <c r="H37" s="416"/>
      <c r="I37" s="134">
        <v>1</v>
      </c>
      <c r="J37" s="134">
        <v>1</v>
      </c>
      <c r="K37" s="350">
        <f t="shared" ref="K37:K100" si="3">IF(OR(G37="Combined Summary",F37="Standalone"),(SUMPRODUCT(--(D$36:D$135=D37),I$36:I$135,J$36:J$135)),"")</f>
        <v>1</v>
      </c>
      <c r="L37" s="291">
        <f>684469</f>
        <v>684469</v>
      </c>
      <c r="M37" s="352"/>
      <c r="N37" s="116"/>
      <c r="O37" s="116"/>
      <c r="P37" s="116"/>
      <c r="Q37" s="351">
        <f t="shared" ref="Q37:Q100" si="4">SUM(L37:P37)</f>
        <v>684469</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36</v>
      </c>
      <c r="D38" s="421" t="s">
        <v>360</v>
      </c>
      <c r="E38" s="417"/>
      <c r="F38" s="416" t="s">
        <v>143</v>
      </c>
      <c r="G38" s="417" t="s">
        <v>136</v>
      </c>
      <c r="H38" s="416"/>
      <c r="I38" s="134">
        <v>1</v>
      </c>
      <c r="J38" s="134">
        <v>0.93</v>
      </c>
      <c r="K38" s="350">
        <f t="shared" si="3"/>
        <v>0.93</v>
      </c>
      <c r="L38" s="291">
        <f>613300</f>
        <v>613300</v>
      </c>
      <c r="M38" s="352"/>
      <c r="N38" s="116"/>
      <c r="O38" s="116"/>
      <c r="P38" s="116"/>
      <c r="Q38" s="351">
        <f t="shared" si="4"/>
        <v>613300</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36</v>
      </c>
      <c r="D39" s="421" t="s">
        <v>361</v>
      </c>
      <c r="E39" s="416"/>
      <c r="F39" s="416" t="s">
        <v>143</v>
      </c>
      <c r="G39" s="417" t="s">
        <v>145</v>
      </c>
      <c r="H39" s="416"/>
      <c r="I39" s="134">
        <v>1</v>
      </c>
      <c r="J39" s="134">
        <v>0.25</v>
      </c>
      <c r="K39" s="350">
        <f t="shared" si="3"/>
        <v>0.25</v>
      </c>
      <c r="L39" s="291">
        <f>747551</f>
        <v>747551</v>
      </c>
      <c r="M39" s="352"/>
      <c r="N39" s="116"/>
      <c r="O39" s="116"/>
      <c r="P39" s="116"/>
      <c r="Q39" s="351">
        <f t="shared" si="4"/>
        <v>747551</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36</v>
      </c>
      <c r="D40" s="421" t="s">
        <v>341</v>
      </c>
      <c r="E40" s="416"/>
      <c r="F40" s="416" t="s">
        <v>143</v>
      </c>
      <c r="G40" s="417" t="s">
        <v>136</v>
      </c>
      <c r="H40" s="416"/>
      <c r="I40" s="134">
        <v>1</v>
      </c>
      <c r="J40" s="134">
        <v>0.78</v>
      </c>
      <c r="K40" s="350">
        <f t="shared" si="3"/>
        <v>0.78</v>
      </c>
      <c r="L40" s="291">
        <f>402627</f>
        <v>402627</v>
      </c>
      <c r="M40" s="352"/>
      <c r="N40" s="116"/>
      <c r="O40" s="116"/>
      <c r="P40" s="116"/>
      <c r="Q40" s="351">
        <f t="shared" si="4"/>
        <v>402627</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36</v>
      </c>
      <c r="D41" s="421" t="s">
        <v>342</v>
      </c>
      <c r="E41" s="416"/>
      <c r="F41" s="416" t="s">
        <v>143</v>
      </c>
      <c r="G41" s="417" t="s">
        <v>136</v>
      </c>
      <c r="H41" s="416"/>
      <c r="I41" s="134">
        <v>1</v>
      </c>
      <c r="J41" s="134">
        <v>0</v>
      </c>
      <c r="K41" s="350">
        <f t="shared" si="3"/>
        <v>0</v>
      </c>
      <c r="L41" s="291">
        <f>755570</f>
        <v>755570</v>
      </c>
      <c r="M41" s="352"/>
      <c r="N41" s="116"/>
      <c r="O41" s="116"/>
      <c r="P41" s="116"/>
      <c r="Q41" s="351">
        <f t="shared" si="4"/>
        <v>755570</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36</v>
      </c>
      <c r="D42" s="421" t="s">
        <v>343</v>
      </c>
      <c r="E42" s="417"/>
      <c r="F42" s="416" t="s">
        <v>144</v>
      </c>
      <c r="G42" s="417" t="s">
        <v>230</v>
      </c>
      <c r="H42" s="416"/>
      <c r="I42" s="134"/>
      <c r="J42" s="134"/>
      <c r="K42" s="350">
        <f t="shared" si="3"/>
        <v>0.13066752558043709</v>
      </c>
      <c r="L42" s="291">
        <f>708647</f>
        <v>708647</v>
      </c>
      <c r="M42" s="352"/>
      <c r="N42" s="116"/>
      <c r="O42" s="116"/>
      <c r="P42" s="116"/>
      <c r="Q42" s="351">
        <f t="shared" si="4"/>
        <v>708647</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36</v>
      </c>
      <c r="D43" s="421" t="s">
        <v>343</v>
      </c>
      <c r="E43" s="417"/>
      <c r="F43" s="416" t="s">
        <v>144</v>
      </c>
      <c r="G43" s="417"/>
      <c r="H43" s="417" t="s">
        <v>136</v>
      </c>
      <c r="I43" s="134">
        <f>412759/L42</f>
        <v>0.58246066094966886</v>
      </c>
      <c r="J43" s="134">
        <v>0.21</v>
      </c>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36</v>
      </c>
      <c r="D44" s="421" t="s">
        <v>343</v>
      </c>
      <c r="E44" s="417"/>
      <c r="F44" s="416" t="s">
        <v>144</v>
      </c>
      <c r="G44" s="417"/>
      <c r="H44" s="417" t="s">
        <v>137</v>
      </c>
      <c r="I44" s="134">
        <f>295888/L42</f>
        <v>0.41753933905033114</v>
      </c>
      <c r="J44" s="134">
        <v>0.02</v>
      </c>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 t="shared" si="2"/>
        <v>36</v>
      </c>
      <c r="D45" s="421" t="s">
        <v>344</v>
      </c>
      <c r="E45" s="417"/>
      <c r="F45" s="416" t="s">
        <v>143</v>
      </c>
      <c r="G45" s="417" t="s">
        <v>136</v>
      </c>
      <c r="H45" s="417"/>
      <c r="I45" s="134">
        <v>1</v>
      </c>
      <c r="J45" s="134">
        <v>0.75</v>
      </c>
      <c r="K45" s="350">
        <f t="shared" si="3"/>
        <v>0.75</v>
      </c>
      <c r="L45" s="291">
        <f>107963</f>
        <v>107963</v>
      </c>
      <c r="M45" s="352"/>
      <c r="N45" s="116"/>
      <c r="O45" s="116"/>
      <c r="P45" s="116"/>
      <c r="Q45" s="351">
        <f t="shared" si="4"/>
        <v>107963</v>
      </c>
      <c r="R45" s="409">
        <f t="shared" si="5"/>
        <v>1</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 t="shared" si="2"/>
        <v>36</v>
      </c>
      <c r="D46" s="421" t="s">
        <v>362</v>
      </c>
      <c r="E46" s="417"/>
      <c r="F46" s="416" t="s">
        <v>144</v>
      </c>
      <c r="G46" s="417" t="s">
        <v>230</v>
      </c>
      <c r="H46" s="417"/>
      <c r="I46" s="134"/>
      <c r="J46" s="134"/>
      <c r="K46" s="350">
        <f t="shared" si="3"/>
        <v>0.17983200538493699</v>
      </c>
      <c r="L46" s="291">
        <f>3372370</f>
        <v>3372370</v>
      </c>
      <c r="M46" s="352"/>
      <c r="N46" s="116"/>
      <c r="O46" s="116"/>
      <c r="P46" s="116"/>
      <c r="Q46" s="351">
        <f t="shared" si="4"/>
        <v>3372370</v>
      </c>
      <c r="R46" s="409">
        <f t="shared" si="5"/>
        <v>1</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 t="shared" si="2"/>
        <v>36</v>
      </c>
      <c r="D47" s="421" t="s">
        <v>362</v>
      </c>
      <c r="E47" s="417"/>
      <c r="F47" s="416" t="s">
        <v>144</v>
      </c>
      <c r="G47" s="417"/>
      <c r="H47" s="417" t="s">
        <v>136</v>
      </c>
      <c r="I47" s="134">
        <f>2619807/L46</f>
        <v>0.77684447436076109</v>
      </c>
      <c r="J47" s="134">
        <v>0.22</v>
      </c>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f t="shared" si="2"/>
        <v>36</v>
      </c>
      <c r="D48" s="421" t="s">
        <v>362</v>
      </c>
      <c r="E48" s="417"/>
      <c r="F48" s="416" t="s">
        <v>144</v>
      </c>
      <c r="G48" s="417"/>
      <c r="H48" s="417" t="s">
        <v>137</v>
      </c>
      <c r="I48" s="134">
        <f>752563/L46</f>
        <v>0.22315552563923888</v>
      </c>
      <c r="J48" s="134">
        <v>0.04</v>
      </c>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f t="shared" si="2"/>
        <v>36</v>
      </c>
      <c r="D49" s="421" t="s">
        <v>345</v>
      </c>
      <c r="E49" s="417"/>
      <c r="F49" s="416" t="s">
        <v>143</v>
      </c>
      <c r="G49" s="417" t="s">
        <v>146</v>
      </c>
      <c r="H49" s="417"/>
      <c r="I49" s="134">
        <v>1</v>
      </c>
      <c r="J49" s="134">
        <v>0.42</v>
      </c>
      <c r="K49" s="350">
        <f t="shared" si="3"/>
        <v>0.42</v>
      </c>
      <c r="L49" s="291">
        <f>584428</f>
        <v>584428</v>
      </c>
      <c r="M49" s="352"/>
      <c r="N49" s="116"/>
      <c r="O49" s="116"/>
      <c r="P49" s="116"/>
      <c r="Q49" s="351">
        <f t="shared" si="4"/>
        <v>584428</v>
      </c>
      <c r="R49" s="409">
        <f t="shared" si="5"/>
        <v>1</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f t="shared" si="2"/>
        <v>36</v>
      </c>
      <c r="D50" s="421" t="s">
        <v>346</v>
      </c>
      <c r="E50" s="417"/>
      <c r="F50" s="416" t="s">
        <v>143</v>
      </c>
      <c r="G50" s="417" t="s">
        <v>132</v>
      </c>
      <c r="H50" s="417"/>
      <c r="I50" s="134">
        <v>1</v>
      </c>
      <c r="J50" s="134">
        <v>1</v>
      </c>
      <c r="K50" s="350">
        <f t="shared" si="3"/>
        <v>1</v>
      </c>
      <c r="L50" s="291">
        <v>2811081</v>
      </c>
      <c r="M50" s="352">
        <v>5140909</v>
      </c>
      <c r="N50" s="116"/>
      <c r="O50" s="116">
        <v>5149734</v>
      </c>
      <c r="P50" s="116">
        <v>4350318</v>
      </c>
      <c r="Q50" s="351">
        <f t="shared" si="4"/>
        <v>17452042</v>
      </c>
      <c r="R50" s="409">
        <f t="shared" si="5"/>
        <v>1</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f t="shared" si="2"/>
        <v>36</v>
      </c>
      <c r="D51" s="421" t="s">
        <v>347</v>
      </c>
      <c r="E51" s="417"/>
      <c r="F51" s="416" t="s">
        <v>144</v>
      </c>
      <c r="G51" s="417" t="s">
        <v>230</v>
      </c>
      <c r="H51" s="417"/>
      <c r="I51" s="134"/>
      <c r="J51" s="134"/>
      <c r="K51" s="350">
        <f t="shared" si="3"/>
        <v>0.2422608642127293</v>
      </c>
      <c r="L51" s="291">
        <f>1299680</f>
        <v>1299680</v>
      </c>
      <c r="M51" s="352"/>
      <c r="N51" s="116"/>
      <c r="O51" s="116"/>
      <c r="P51" s="116"/>
      <c r="Q51" s="351">
        <f t="shared" si="4"/>
        <v>1299680</v>
      </c>
      <c r="R51" s="409">
        <f t="shared" si="5"/>
        <v>1</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f t="shared" si="2"/>
        <v>36</v>
      </c>
      <c r="D52" s="421" t="s">
        <v>347</v>
      </c>
      <c r="E52" s="417"/>
      <c r="F52" s="416" t="s">
        <v>144</v>
      </c>
      <c r="G52" s="417"/>
      <c r="H52" s="417" t="s">
        <v>136</v>
      </c>
      <c r="I52" s="134">
        <f>911080/L51</f>
        <v>0.70100332389511266</v>
      </c>
      <c r="J52" s="134">
        <v>0.32</v>
      </c>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f t="shared" si="2"/>
        <v>36</v>
      </c>
      <c r="D53" s="421" t="s">
        <v>347</v>
      </c>
      <c r="E53" s="417"/>
      <c r="F53" s="416" t="s">
        <v>144</v>
      </c>
      <c r="G53" s="417"/>
      <c r="H53" s="417" t="s">
        <v>137</v>
      </c>
      <c r="I53" s="134">
        <f>388600/L51</f>
        <v>0.29899667610488734</v>
      </c>
      <c r="J53" s="134">
        <v>0.06</v>
      </c>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f t="shared" si="2"/>
        <v>36</v>
      </c>
      <c r="D54" s="421" t="s">
        <v>363</v>
      </c>
      <c r="E54" s="417"/>
      <c r="F54" s="416" t="s">
        <v>143</v>
      </c>
      <c r="G54" s="417" t="s">
        <v>136</v>
      </c>
      <c r="H54" s="417"/>
      <c r="I54" s="134">
        <v>1</v>
      </c>
      <c r="J54" s="134">
        <v>1</v>
      </c>
      <c r="K54" s="350">
        <f t="shared" si="3"/>
        <v>1</v>
      </c>
      <c r="L54" s="291">
        <f>295293</f>
        <v>295293</v>
      </c>
      <c r="M54" s="352"/>
      <c r="N54" s="116"/>
      <c r="O54" s="116"/>
      <c r="P54" s="116"/>
      <c r="Q54" s="351">
        <f t="shared" si="4"/>
        <v>295293</v>
      </c>
      <c r="R54" s="409">
        <f t="shared" si="5"/>
        <v>1</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A4" zoomScale="70" zoomScaleNormal="70" zoomScaleSheetLayoutView="40" workbookViewId="0">
      <selection activeCell="H20" sqref="H20"/>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60"/>
      <c r="C1" s="460"/>
      <c r="D1" s="460"/>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8" t="s">
        <v>1</v>
      </c>
      <c r="C7" s="448"/>
      <c r="D7" s="9" t="str">
        <f>IF(ISBLANK('1. Information'!D8),"",'1. Information'!D8)</f>
        <v>San Bernardino</v>
      </c>
      <c r="F7" s="94" t="s">
        <v>2</v>
      </c>
      <c r="G7" s="109">
        <f>IF(ISBLANK('1. Information'!D7),"",'1. Information'!D7)</f>
        <v>43462</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8" t="s">
        <v>30</v>
      </c>
      <c r="H12" s="438"/>
      <c r="I12" s="438"/>
      <c r="J12" s="441"/>
      <c r="K12" s="308"/>
      <c r="L12"/>
      <c r="M12"/>
      <c r="N12"/>
      <c r="O12" s="108"/>
      <c r="P12" s="108"/>
    </row>
    <row r="13" spans="2:16" ht="65.25" customHeight="1" x14ac:dyDescent="0.25">
      <c r="B13" s="108"/>
      <c r="C13" s="462"/>
      <c r="D13" s="462"/>
      <c r="E13" s="462"/>
      <c r="F13" s="30" t="s">
        <v>300</v>
      </c>
      <c r="G13" s="44" t="s">
        <v>5</v>
      </c>
      <c r="H13" s="27" t="s">
        <v>6</v>
      </c>
      <c r="I13" s="27" t="s">
        <v>31</v>
      </c>
      <c r="J13" s="27" t="s">
        <v>15</v>
      </c>
      <c r="K13" s="306" t="s">
        <v>278</v>
      </c>
      <c r="L13"/>
      <c r="M13"/>
      <c r="N13"/>
      <c r="O13" s="108"/>
      <c r="P13" s="108"/>
    </row>
    <row r="14" spans="2:16" ht="15.75" x14ac:dyDescent="0.25">
      <c r="B14" s="101">
        <v>1</v>
      </c>
      <c r="C14" s="446" t="s">
        <v>160</v>
      </c>
      <c r="D14" s="446"/>
      <c r="E14" s="446"/>
      <c r="F14" s="290">
        <v>438962</v>
      </c>
      <c r="G14" s="45"/>
      <c r="H14" s="29"/>
      <c r="I14" s="29"/>
      <c r="J14" s="309"/>
      <c r="K14" s="293">
        <f>SUM(F14:J14)</f>
        <v>438962</v>
      </c>
      <c r="L14"/>
      <c r="M14"/>
      <c r="N14"/>
      <c r="O14" s="108"/>
      <c r="P14" s="108"/>
    </row>
    <row r="15" spans="2:16" ht="15.75" x14ac:dyDescent="0.25">
      <c r="B15" s="101">
        <v>2</v>
      </c>
      <c r="C15" s="446" t="s">
        <v>161</v>
      </c>
      <c r="D15" s="446"/>
      <c r="E15" s="446"/>
      <c r="F15" s="29">
        <f>384442+1</f>
        <v>384443</v>
      </c>
      <c r="G15" s="411"/>
      <c r="H15" s="412"/>
      <c r="I15" s="412"/>
      <c r="J15" s="413"/>
      <c r="K15" s="293">
        <f>SUM(F15:J15)</f>
        <v>384443</v>
      </c>
      <c r="L15"/>
      <c r="M15"/>
      <c r="N15"/>
      <c r="O15" s="108"/>
      <c r="P15" s="108"/>
    </row>
    <row r="16" spans="2:16" ht="15.75" x14ac:dyDescent="0.25">
      <c r="B16" s="405">
        <v>3</v>
      </c>
      <c r="C16" s="442" t="s">
        <v>314</v>
      </c>
      <c r="D16" s="443"/>
      <c r="E16" s="444"/>
      <c r="F16" s="367"/>
      <c r="G16" s="19"/>
      <c r="H16" s="19"/>
      <c r="I16" s="19"/>
      <c r="J16" s="19"/>
      <c r="K16" s="293">
        <f>SUM(F16:J16)</f>
        <v>0</v>
      </c>
      <c r="L16" s="404"/>
      <c r="M16" s="404"/>
      <c r="N16" s="404"/>
      <c r="O16" s="108"/>
      <c r="P16" s="108"/>
    </row>
    <row r="17" spans="2:17" ht="15.75" x14ac:dyDescent="0.25">
      <c r="B17" s="405">
        <v>4</v>
      </c>
      <c r="C17" s="442" t="s">
        <v>315</v>
      </c>
      <c r="D17" s="443"/>
      <c r="E17" s="444"/>
      <c r="F17" s="410"/>
      <c r="G17" s="19"/>
      <c r="H17" s="19"/>
      <c r="I17" s="19"/>
      <c r="J17" s="19"/>
      <c r="K17" s="293">
        <f>SUM(F17:J17)</f>
        <v>0</v>
      </c>
      <c r="L17" s="404"/>
      <c r="M17" s="404"/>
      <c r="N17" s="404"/>
      <c r="O17" s="108"/>
      <c r="P17" s="108"/>
    </row>
    <row r="18" spans="2:17" ht="15.75" x14ac:dyDescent="0.25">
      <c r="B18" s="101">
        <v>5</v>
      </c>
      <c r="C18" s="446" t="s">
        <v>162</v>
      </c>
      <c r="D18" s="446"/>
      <c r="E18" s="446"/>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6" t="s">
        <v>163</v>
      </c>
      <c r="D19" s="446"/>
      <c r="E19" s="446"/>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6" t="s">
        <v>236</v>
      </c>
      <c r="D20" s="446"/>
      <c r="E20" s="446"/>
      <c r="F20" s="19">
        <f>SUMIF($J$29:$J$132,"Project Direct",K$29:K$132)</f>
        <v>1261103</v>
      </c>
      <c r="G20" s="47">
        <f>SUMIF($J$29:$J$132,"Project Direct",L$29:L$132)</f>
        <v>0</v>
      </c>
      <c r="H20" s="19">
        <f>SUMIF($J$29:$J$132,"Project Direct",M$29:M$132)</f>
        <v>0</v>
      </c>
      <c r="I20" s="19">
        <f>SUMIF($J$29:$J$132,"Project Direct",N$29:N$132)</f>
        <v>0</v>
      </c>
      <c r="J20" s="19">
        <f>SUMIF($J$29:$J$132,"Project Direct",O$29:O$132)</f>
        <v>0</v>
      </c>
      <c r="K20" s="293">
        <f t="shared" si="0"/>
        <v>1261103</v>
      </c>
      <c r="L20"/>
      <c r="M20"/>
      <c r="N20"/>
      <c r="O20" s="108"/>
      <c r="P20" s="108"/>
    </row>
    <row r="21" spans="2:17" ht="15.75" x14ac:dyDescent="0.25">
      <c r="B21" s="101">
        <v>8</v>
      </c>
      <c r="C21" s="461" t="s">
        <v>164</v>
      </c>
      <c r="D21" s="461"/>
      <c r="E21" s="461"/>
      <c r="F21" s="18">
        <f>SUM(F18:F20)</f>
        <v>1261103</v>
      </c>
      <c r="G21" s="48">
        <f>SUM(G18:G20)</f>
        <v>0</v>
      </c>
      <c r="H21" s="18">
        <f>SUM(H18:H20)</f>
        <v>0</v>
      </c>
      <c r="I21" s="18">
        <f>SUM(I18:I20)</f>
        <v>0</v>
      </c>
      <c r="J21" s="18">
        <f t="shared" ref="J21" si="1">SUM(J18:J20)</f>
        <v>0</v>
      </c>
      <c r="K21" s="18">
        <f t="shared" ref="K21" si="2">SUM(K18:K20)</f>
        <v>1261103</v>
      </c>
      <c r="L21"/>
      <c r="M21"/>
      <c r="N21"/>
      <c r="O21" s="108"/>
      <c r="P21" s="108"/>
    </row>
    <row r="22" spans="2:17" ht="30.95" customHeight="1" x14ac:dyDescent="0.25">
      <c r="B22" s="101">
        <v>9</v>
      </c>
      <c r="C22" s="458" t="s">
        <v>316</v>
      </c>
      <c r="D22" s="458"/>
      <c r="E22" s="458"/>
      <c r="F22" s="20">
        <f t="shared" ref="F22:K22" si="3">SUM(F14:F15,F17,F18:F20)</f>
        <v>2084508</v>
      </c>
      <c r="G22" s="20">
        <f t="shared" si="3"/>
        <v>0</v>
      </c>
      <c r="H22" s="20">
        <f t="shared" si="3"/>
        <v>0</v>
      </c>
      <c r="I22" s="20">
        <f t="shared" si="3"/>
        <v>0</v>
      </c>
      <c r="J22" s="20">
        <f t="shared" si="3"/>
        <v>0</v>
      </c>
      <c r="K22" s="20">
        <f t="shared" si="3"/>
        <v>2084508</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9" t="s">
        <v>167</v>
      </c>
      <c r="E27" s="459"/>
      <c r="F27" s="459"/>
      <c r="G27" s="459"/>
      <c r="H27" s="459"/>
      <c r="I27" s="459"/>
      <c r="J27" s="459"/>
      <c r="K27" s="340" t="s">
        <v>28</v>
      </c>
      <c r="L27" s="459" t="s">
        <v>30</v>
      </c>
      <c r="M27" s="459"/>
      <c r="N27" s="459"/>
      <c r="O27" s="459"/>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36</v>
      </c>
      <c r="D29" s="395" t="s">
        <v>348</v>
      </c>
      <c r="E29" s="138"/>
      <c r="F29" s="422">
        <v>41699</v>
      </c>
      <c r="G29" s="422">
        <v>41883</v>
      </c>
      <c r="H29" s="290">
        <v>6700207</v>
      </c>
      <c r="I29" s="116"/>
      <c r="J29" s="118" t="s">
        <v>158</v>
      </c>
      <c r="K29" s="120"/>
      <c r="L29" s="120"/>
      <c r="M29" s="116"/>
      <c r="N29" s="116"/>
      <c r="O29" s="129"/>
      <c r="P29" s="293">
        <f t="shared" ref="P29:P64" si="4">SUM(K29:O29)</f>
        <v>0</v>
      </c>
    </row>
    <row r="30" spans="2:17" x14ac:dyDescent="0.2">
      <c r="B30" s="123">
        <v>1</v>
      </c>
      <c r="C30" s="139">
        <f t="shared" ref="C30:I31" si="5">IF(ISBLANK(C29),"",C29)</f>
        <v>36</v>
      </c>
      <c r="D30" s="397" t="str">
        <f t="shared" si="5"/>
        <v>Recovery Based Engagement Supp Team</v>
      </c>
      <c r="E30" s="140" t="str">
        <f t="shared" si="5"/>
        <v/>
      </c>
      <c r="F30" s="140">
        <f t="shared" si="5"/>
        <v>41699</v>
      </c>
      <c r="G30" s="140">
        <f t="shared" si="5"/>
        <v>41883</v>
      </c>
      <c r="H30" s="122">
        <f t="shared" si="5"/>
        <v>6700207</v>
      </c>
      <c r="I30" s="122" t="str">
        <f t="shared" si="5"/>
        <v/>
      </c>
      <c r="J30" s="119" t="s">
        <v>159</v>
      </c>
      <c r="K30" s="120"/>
      <c r="L30" s="120"/>
      <c r="M30" s="116"/>
      <c r="N30" s="116"/>
      <c r="O30" s="129"/>
      <c r="P30" s="293">
        <f t="shared" si="4"/>
        <v>0</v>
      </c>
    </row>
    <row r="31" spans="2:17" x14ac:dyDescent="0.2">
      <c r="B31" s="123">
        <v>1</v>
      </c>
      <c r="C31" s="139">
        <f t="shared" ref="C31:H31" si="6">IF(ISBLANK(C29),"",C29)</f>
        <v>36</v>
      </c>
      <c r="D31" s="398" t="str">
        <f t="shared" si="6"/>
        <v>Recovery Based Engagement Supp Team</v>
      </c>
      <c r="E31" s="141" t="str">
        <f t="shared" si="6"/>
        <v/>
      </c>
      <c r="F31" s="141">
        <f t="shared" si="6"/>
        <v>41699</v>
      </c>
      <c r="G31" s="141">
        <f t="shared" si="6"/>
        <v>41883</v>
      </c>
      <c r="H31" s="119">
        <f t="shared" si="6"/>
        <v>6700207</v>
      </c>
      <c r="I31" s="119" t="str">
        <f t="shared" si="5"/>
        <v/>
      </c>
      <c r="J31" s="119" t="s">
        <v>237</v>
      </c>
      <c r="K31" s="423">
        <f>1261103</f>
        <v>1261103</v>
      </c>
      <c r="L31" s="120"/>
      <c r="M31" s="116"/>
      <c r="N31" s="116"/>
      <c r="O31" s="129"/>
      <c r="P31" s="293">
        <f t="shared" si="4"/>
        <v>1261103</v>
      </c>
    </row>
    <row r="32" spans="2:17" ht="15.75" x14ac:dyDescent="0.25">
      <c r="B32" s="96">
        <v>1</v>
      </c>
      <c r="C32" s="22">
        <f t="shared" ref="C32:I32" si="7">IF(ISBLANK(C29),"",C29)</f>
        <v>36</v>
      </c>
      <c r="D32" s="399" t="str">
        <f t="shared" si="7"/>
        <v>Recovery Based Engagement Supp Team</v>
      </c>
      <c r="E32" s="33" t="str">
        <f t="shared" si="7"/>
        <v/>
      </c>
      <c r="F32" s="33">
        <f t="shared" si="7"/>
        <v>41699</v>
      </c>
      <c r="G32" s="33">
        <f t="shared" si="7"/>
        <v>41883</v>
      </c>
      <c r="H32" s="34">
        <f t="shared" si="7"/>
        <v>6700207</v>
      </c>
      <c r="I32" s="34" t="str">
        <f t="shared" si="7"/>
        <v/>
      </c>
      <c r="J32" s="8" t="s">
        <v>263</v>
      </c>
      <c r="K32" s="50">
        <f>SUM(K29:K31)</f>
        <v>1261103</v>
      </c>
      <c r="L32" s="50">
        <f>SUM(L29:L31)</f>
        <v>0</v>
      </c>
      <c r="M32" s="35">
        <f t="shared" ref="M32:O32" si="8">SUM(M29:M31)</f>
        <v>0</v>
      </c>
      <c r="N32" s="35">
        <f t="shared" si="8"/>
        <v>0</v>
      </c>
      <c r="O32" s="311">
        <f t="shared" si="8"/>
        <v>0</v>
      </c>
      <c r="P32" s="8">
        <f t="shared" si="4"/>
        <v>1261103</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H20" sqref="H20"/>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San Bernardino</v>
      </c>
      <c r="F7" s="94" t="s">
        <v>2</v>
      </c>
      <c r="G7" s="38">
        <f>IF(ISBLANK('1. Information'!D7),"",'1. Information'!D7)</f>
        <v>43462</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3" t="s">
        <v>213</v>
      </c>
      <c r="H12" s="464"/>
      <c r="I12" s="464"/>
      <c r="J12" s="465"/>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6" t="s">
        <v>16</v>
      </c>
      <c r="D14" s="446"/>
      <c r="E14" s="442"/>
      <c r="F14" s="290"/>
      <c r="G14" s="142"/>
      <c r="H14" s="142"/>
      <c r="I14" s="142"/>
      <c r="J14" s="142"/>
      <c r="K14" s="292">
        <f>SUM(F14:J14)</f>
        <v>0</v>
      </c>
      <c r="L14"/>
      <c r="M14"/>
      <c r="N14" s="108"/>
      <c r="O14" s="108"/>
    </row>
    <row r="15" spans="1:22" ht="15.75" x14ac:dyDescent="0.25">
      <c r="A15" s="108"/>
      <c r="B15" s="101">
        <v>2</v>
      </c>
      <c r="C15" s="446" t="s">
        <v>17</v>
      </c>
      <c r="D15" s="446"/>
      <c r="E15" s="442"/>
      <c r="F15" s="290"/>
      <c r="G15" s="142"/>
      <c r="H15" s="142"/>
      <c r="I15" s="142"/>
      <c r="J15" s="142"/>
      <c r="K15" s="292">
        <f t="shared" ref="K15:K19" si="0">SUM(F15:J15)</f>
        <v>0</v>
      </c>
      <c r="L15"/>
      <c r="M15"/>
      <c r="N15" s="108"/>
      <c r="O15" s="108"/>
    </row>
    <row r="16" spans="1:22" ht="15.75" x14ac:dyDescent="0.25">
      <c r="A16" s="108"/>
      <c r="B16" s="101">
        <v>3</v>
      </c>
      <c r="C16" s="446" t="s">
        <v>238</v>
      </c>
      <c r="D16" s="446"/>
      <c r="E16" s="442"/>
      <c r="F16" s="290">
        <v>1454107</v>
      </c>
      <c r="G16" s="355"/>
      <c r="H16" s="355"/>
      <c r="I16" s="355"/>
      <c r="J16" s="355"/>
      <c r="K16" s="292">
        <f t="shared" si="0"/>
        <v>1454107</v>
      </c>
      <c r="L16"/>
      <c r="M16"/>
      <c r="N16" s="108"/>
      <c r="O16" s="108"/>
    </row>
    <row r="17" spans="1:22" ht="15.75" x14ac:dyDescent="0.25">
      <c r="A17" s="108"/>
      <c r="B17" s="101">
        <v>4</v>
      </c>
      <c r="C17" s="446" t="s">
        <v>221</v>
      </c>
      <c r="D17" s="446"/>
      <c r="E17" s="442"/>
      <c r="F17" s="367"/>
      <c r="G17" s="119"/>
      <c r="H17" s="119"/>
      <c r="I17" s="119"/>
      <c r="J17" s="119"/>
      <c r="K17" s="292">
        <f t="shared" si="0"/>
        <v>0</v>
      </c>
      <c r="L17"/>
      <c r="M17"/>
      <c r="N17" s="108"/>
      <c r="O17" s="108"/>
    </row>
    <row r="18" spans="1:22" ht="15.75" x14ac:dyDescent="0.25">
      <c r="A18" s="108"/>
      <c r="B18" s="101">
        <v>5</v>
      </c>
      <c r="C18" s="446" t="s">
        <v>222</v>
      </c>
      <c r="D18" s="446"/>
      <c r="E18" s="442"/>
      <c r="F18" s="367"/>
      <c r="G18" s="119"/>
      <c r="H18" s="119"/>
      <c r="I18" s="119"/>
      <c r="J18" s="119"/>
      <c r="K18" s="292">
        <f t="shared" si="0"/>
        <v>0</v>
      </c>
      <c r="L18"/>
      <c r="M18"/>
      <c r="N18" s="108"/>
      <c r="O18" s="108"/>
    </row>
    <row r="19" spans="1:22" ht="15.75" x14ac:dyDescent="0.25">
      <c r="A19" s="108"/>
      <c r="B19" s="101">
        <v>6</v>
      </c>
      <c r="C19" s="442" t="s">
        <v>174</v>
      </c>
      <c r="D19" s="443"/>
      <c r="E19" s="444"/>
      <c r="F19" s="122">
        <f>SUM(E28:E32)</f>
        <v>1554054</v>
      </c>
      <c r="G19" s="121">
        <f t="shared" ref="G19:I19" si="1">SUM(F28:F32)</f>
        <v>0</v>
      </c>
      <c r="H19" s="122">
        <f t="shared" si="1"/>
        <v>0</v>
      </c>
      <c r="I19" s="122">
        <f t="shared" si="1"/>
        <v>0</v>
      </c>
      <c r="J19" s="122">
        <f>SUM(I28:I32)</f>
        <v>0</v>
      </c>
      <c r="K19" s="293">
        <f t="shared" si="0"/>
        <v>1554054</v>
      </c>
      <c r="L19"/>
      <c r="M19"/>
      <c r="N19" s="108"/>
      <c r="O19" s="108"/>
    </row>
    <row r="20" spans="1:22" ht="30.95" customHeight="1" x14ac:dyDescent="0.25">
      <c r="A20" s="108"/>
      <c r="B20" s="101">
        <v>7</v>
      </c>
      <c r="C20" s="458" t="s">
        <v>220</v>
      </c>
      <c r="D20" s="458"/>
      <c r="E20" s="458"/>
      <c r="F20" s="8">
        <f>SUM(F14:F16,F18:F19)</f>
        <v>3008161</v>
      </c>
      <c r="G20" s="43">
        <f t="shared" ref="G20:J20" si="2">SUM(G14:G16,G18:G19)</f>
        <v>0</v>
      </c>
      <c r="H20" s="7">
        <f t="shared" si="2"/>
        <v>0</v>
      </c>
      <c r="I20" s="7">
        <f t="shared" si="2"/>
        <v>0</v>
      </c>
      <c r="J20" s="7">
        <f t="shared" si="2"/>
        <v>0</v>
      </c>
      <c r="K20" s="8">
        <f>SUM(K14:K16,K18:K19)</f>
        <v>3008161</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6" t="s">
        <v>30</v>
      </c>
      <c r="G26" s="466"/>
      <c r="H26" s="466"/>
      <c r="I26" s="466"/>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f>IF(J29&lt;&gt;0,VLOOKUP($D$7,Info_County_Code,2,FALSE),"")</f>
        <v>36</v>
      </c>
      <c r="D29" s="145" t="s">
        <v>106</v>
      </c>
      <c r="E29" s="116">
        <v>141522</v>
      </c>
      <c r="F29" s="120"/>
      <c r="G29" s="116"/>
      <c r="H29" s="116"/>
      <c r="I29" s="313"/>
      <c r="J29" s="119">
        <f t="shared" ref="J29:J32" si="3">SUM(E29:I29)</f>
        <v>141522</v>
      </c>
      <c r="K29"/>
      <c r="L29"/>
      <c r="M29"/>
      <c r="N29"/>
      <c r="O29"/>
      <c r="P29"/>
      <c r="Q29"/>
      <c r="R29"/>
    </row>
    <row r="30" spans="1:22" ht="15.75" x14ac:dyDescent="0.25">
      <c r="A30" s="108"/>
      <c r="B30" s="101">
        <v>3</v>
      </c>
      <c r="C30" s="132">
        <f>IF(J30&lt;&gt;0,VLOOKUP($D$7,Info_County_Code,2,FALSE),"")</f>
        <v>36</v>
      </c>
      <c r="D30" s="145" t="s">
        <v>107</v>
      </c>
      <c r="E30" s="116">
        <v>1332</v>
      </c>
      <c r="F30" s="120"/>
      <c r="G30" s="116"/>
      <c r="H30" s="116"/>
      <c r="I30" s="313"/>
      <c r="J30" s="119">
        <f t="shared" si="3"/>
        <v>1332</v>
      </c>
      <c r="K30"/>
      <c r="L30"/>
      <c r="M30"/>
      <c r="N30"/>
      <c r="O30"/>
      <c r="P30"/>
      <c r="Q30"/>
      <c r="R30"/>
    </row>
    <row r="31" spans="1:22" ht="15.75" x14ac:dyDescent="0.25">
      <c r="A31" s="108"/>
      <c r="B31" s="144">
        <v>4</v>
      </c>
      <c r="C31" s="132">
        <f>IF(J31&lt;&gt;0,VLOOKUP($D$7,Info_County_Code,2,FALSE),"")</f>
        <v>36</v>
      </c>
      <c r="D31" s="145" t="s">
        <v>108</v>
      </c>
      <c r="E31" s="116">
        <f>839191+537400</f>
        <v>1376591</v>
      </c>
      <c r="F31" s="120"/>
      <c r="G31" s="116"/>
      <c r="H31" s="116"/>
      <c r="I31" s="313"/>
      <c r="J31" s="119">
        <f t="shared" si="3"/>
        <v>1376591</v>
      </c>
      <c r="K31"/>
      <c r="L31"/>
      <c r="M31"/>
      <c r="N31"/>
      <c r="O31"/>
      <c r="P31"/>
      <c r="Q31"/>
      <c r="R31"/>
    </row>
    <row r="32" spans="1:22" ht="15.75" x14ac:dyDescent="0.25">
      <c r="A32" s="108"/>
      <c r="B32" s="101">
        <v>5</v>
      </c>
      <c r="C32" s="132">
        <f>IF(J32&lt;&gt;0,VLOOKUP($D$7,Info_County_Code,2,FALSE),"")</f>
        <v>36</v>
      </c>
      <c r="D32" s="145" t="s">
        <v>109</v>
      </c>
      <c r="E32" s="116">
        <v>34609</v>
      </c>
      <c r="F32" s="120"/>
      <c r="G32" s="116"/>
      <c r="H32" s="116"/>
      <c r="I32" s="313"/>
      <c r="J32" s="119">
        <f t="shared" si="3"/>
        <v>34609</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D39" sqref="D39"/>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60"/>
      <c r="C1" s="460"/>
      <c r="D1" s="460"/>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San Bernardino</v>
      </c>
      <c r="E7" s="16"/>
      <c r="F7" s="95" t="s">
        <v>2</v>
      </c>
      <c r="G7" s="109">
        <f>IF(ISBLANK('1. Information'!D7),"",'1. Information'!D7)</f>
        <v>43462</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8" t="s">
        <v>213</v>
      </c>
      <c r="H12" s="448"/>
      <c r="I12" s="448"/>
      <c r="J12" s="448"/>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6" t="s">
        <v>189</v>
      </c>
      <c r="D14" s="446"/>
      <c r="E14" s="442"/>
      <c r="F14" s="142"/>
      <c r="G14" s="142"/>
      <c r="H14" s="142"/>
      <c r="I14" s="142"/>
      <c r="J14" s="142"/>
      <c r="K14" s="118">
        <f>SUM(F14:J14)</f>
        <v>0</v>
      </c>
      <c r="L14"/>
      <c r="M14"/>
      <c r="U14" s="108"/>
      <c r="V14" s="108"/>
      <c r="W14" s="108"/>
    </row>
    <row r="15" spans="2:23" x14ac:dyDescent="0.25">
      <c r="B15" s="101">
        <v>2</v>
      </c>
      <c r="C15" s="446" t="s">
        <v>188</v>
      </c>
      <c r="D15" s="446"/>
      <c r="E15" s="442"/>
      <c r="F15" s="142"/>
      <c r="G15" s="142"/>
      <c r="H15" s="142"/>
      <c r="I15" s="142"/>
      <c r="J15" s="142"/>
      <c r="K15" s="118">
        <f t="shared" ref="K15:K20" si="0">SUM(F15:J15)</f>
        <v>0</v>
      </c>
      <c r="L15"/>
      <c r="M15"/>
      <c r="U15" s="108"/>
      <c r="V15" s="108"/>
      <c r="W15" s="108"/>
    </row>
    <row r="16" spans="2:23" x14ac:dyDescent="0.25">
      <c r="B16" s="101">
        <v>3</v>
      </c>
      <c r="C16" s="446" t="s">
        <v>123</v>
      </c>
      <c r="D16" s="446"/>
      <c r="E16" s="442"/>
      <c r="F16" s="142"/>
      <c r="G16" s="142"/>
      <c r="H16" s="142"/>
      <c r="I16" s="142"/>
      <c r="J16" s="142"/>
      <c r="K16" s="118">
        <f t="shared" si="0"/>
        <v>0</v>
      </c>
      <c r="L16"/>
      <c r="M16"/>
      <c r="U16" s="108"/>
      <c r="V16" s="108"/>
      <c r="W16" s="108"/>
    </row>
    <row r="17" spans="2:23" x14ac:dyDescent="0.25">
      <c r="B17" s="101">
        <v>4</v>
      </c>
      <c r="C17" s="446" t="s">
        <v>122</v>
      </c>
      <c r="D17" s="446"/>
      <c r="E17" s="442"/>
      <c r="F17" s="142"/>
      <c r="G17" s="142"/>
      <c r="H17" s="142"/>
      <c r="I17" s="142"/>
      <c r="J17" s="142"/>
      <c r="K17" s="118">
        <f t="shared" si="0"/>
        <v>0</v>
      </c>
      <c r="L17"/>
      <c r="M17"/>
      <c r="U17" s="108"/>
      <c r="V17" s="108"/>
      <c r="W17" s="108"/>
    </row>
    <row r="18" spans="2:23" x14ac:dyDescent="0.25">
      <c r="B18" s="101">
        <v>5</v>
      </c>
      <c r="C18" s="446" t="s">
        <v>239</v>
      </c>
      <c r="D18" s="446"/>
      <c r="E18" s="442"/>
      <c r="F18" s="142"/>
      <c r="G18" s="142"/>
      <c r="H18" s="142"/>
      <c r="I18" s="142"/>
      <c r="J18" s="142"/>
      <c r="K18" s="118">
        <f t="shared" si="0"/>
        <v>0</v>
      </c>
      <c r="L18"/>
      <c r="M18"/>
      <c r="U18" s="108"/>
      <c r="V18" s="108"/>
      <c r="W18" s="108"/>
    </row>
    <row r="19" spans="2:23" x14ac:dyDescent="0.25">
      <c r="B19" s="101">
        <v>6</v>
      </c>
      <c r="C19" s="446" t="s">
        <v>240</v>
      </c>
      <c r="D19" s="446"/>
      <c r="E19" s="442"/>
      <c r="F19" s="142">
        <f>231129+294806</f>
        <v>525935</v>
      </c>
      <c r="G19" s="142"/>
      <c r="H19" s="142"/>
      <c r="I19" s="142"/>
      <c r="J19" s="355"/>
      <c r="K19" s="118">
        <f t="shared" si="0"/>
        <v>525935</v>
      </c>
      <c r="L19"/>
      <c r="M19"/>
      <c r="U19" s="108"/>
      <c r="V19" s="108"/>
      <c r="W19" s="108"/>
    </row>
    <row r="20" spans="2:23" x14ac:dyDescent="0.25">
      <c r="B20" s="101">
        <v>7</v>
      </c>
      <c r="C20" s="446" t="s">
        <v>175</v>
      </c>
      <c r="D20" s="446"/>
      <c r="E20" s="446"/>
      <c r="F20" s="121">
        <f>SUM(G28:G47)</f>
        <v>3501311</v>
      </c>
      <c r="G20" s="121">
        <f>SUM(H28:H47)</f>
        <v>0</v>
      </c>
      <c r="H20" s="122">
        <f t="shared" ref="H20" si="1">SUM(I28:I47)</f>
        <v>0</v>
      </c>
      <c r="I20" s="122">
        <f>SUM(J28:J47)</f>
        <v>0</v>
      </c>
      <c r="J20" s="119">
        <f>SUM(K28:K47)</f>
        <v>0</v>
      </c>
      <c r="K20" s="118">
        <f t="shared" si="0"/>
        <v>3501311</v>
      </c>
      <c r="L20"/>
      <c r="M20"/>
      <c r="U20" s="108"/>
      <c r="V20" s="108"/>
      <c r="W20" s="108"/>
    </row>
    <row r="21" spans="2:23" ht="30.95" customHeight="1" x14ac:dyDescent="0.25">
      <c r="B21" s="101">
        <v>8</v>
      </c>
      <c r="C21" s="467" t="s">
        <v>20</v>
      </c>
      <c r="D21" s="467"/>
      <c r="E21" s="467"/>
      <c r="F21" s="43">
        <f>SUM(F14:F20)</f>
        <v>4027246</v>
      </c>
      <c r="G21" s="43">
        <f>SUM(G14:G20)</f>
        <v>0</v>
      </c>
      <c r="H21" s="7">
        <f t="shared" ref="H21:J21" si="2">SUM(H14:H20)</f>
        <v>0</v>
      </c>
      <c r="I21" s="7">
        <f t="shared" si="2"/>
        <v>0</v>
      </c>
      <c r="J21" s="299">
        <f t="shared" si="2"/>
        <v>0</v>
      </c>
      <c r="K21" s="7">
        <f t="shared" ref="K21" si="3">SUM(K14:K20)</f>
        <v>4027246</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6" t="s">
        <v>224</v>
      </c>
      <c r="E26" s="466"/>
      <c r="F26" s="466"/>
      <c r="G26" s="344" t="s">
        <v>214</v>
      </c>
      <c r="H26" s="466" t="s">
        <v>213</v>
      </c>
      <c r="I26" s="466"/>
      <c r="J26" s="466"/>
      <c r="K26" s="466"/>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36</v>
      </c>
      <c r="D28" s="364" t="s">
        <v>354</v>
      </c>
      <c r="E28" s="151"/>
      <c r="F28" s="416" t="s">
        <v>177</v>
      </c>
      <c r="G28" s="117">
        <v>259963</v>
      </c>
      <c r="H28" s="126"/>
      <c r="I28" s="126"/>
      <c r="J28" s="117"/>
      <c r="K28" s="312"/>
      <c r="L28" s="316">
        <f>SUM(G28:K28)</f>
        <v>259963</v>
      </c>
      <c r="M28"/>
      <c r="U28" s="108"/>
      <c r="V28" s="108"/>
      <c r="W28" s="108"/>
    </row>
    <row r="29" spans="2:23" x14ac:dyDescent="0.25">
      <c r="B29" s="101">
        <v>2</v>
      </c>
      <c r="C29" s="132" t="str">
        <f t="shared" si="4"/>
        <v/>
      </c>
      <c r="D29" s="395" t="s">
        <v>355</v>
      </c>
      <c r="E29" s="396"/>
      <c r="F29" s="416" t="s">
        <v>177</v>
      </c>
      <c r="G29" s="117">
        <v>0</v>
      </c>
      <c r="H29" s="126"/>
      <c r="I29" s="120"/>
      <c r="J29" s="116"/>
      <c r="K29" s="313"/>
      <c r="L29" s="316">
        <f t="shared" ref="L29:L47" si="5">SUM(G29:K29)</f>
        <v>0</v>
      </c>
      <c r="M29"/>
      <c r="U29" s="108"/>
      <c r="V29" s="108"/>
      <c r="W29" s="108"/>
    </row>
    <row r="30" spans="2:23" x14ac:dyDescent="0.25">
      <c r="B30" s="101">
        <v>3</v>
      </c>
      <c r="C30" s="132" t="str">
        <f t="shared" si="4"/>
        <v/>
      </c>
      <c r="D30" s="395" t="s">
        <v>356</v>
      </c>
      <c r="E30" s="396"/>
      <c r="F30" s="416" t="s">
        <v>177</v>
      </c>
      <c r="G30" s="117">
        <v>0</v>
      </c>
      <c r="H30" s="126"/>
      <c r="I30" s="120"/>
      <c r="J30" s="116"/>
      <c r="K30" s="313"/>
      <c r="L30" s="316">
        <f t="shared" si="5"/>
        <v>0</v>
      </c>
      <c r="M30"/>
      <c r="U30" s="108"/>
      <c r="V30" s="108"/>
      <c r="W30" s="108"/>
    </row>
    <row r="31" spans="2:23" x14ac:dyDescent="0.25">
      <c r="B31" s="101">
        <v>4</v>
      </c>
      <c r="C31" s="132">
        <f t="shared" si="4"/>
        <v>36</v>
      </c>
      <c r="D31" s="395" t="s">
        <v>357</v>
      </c>
      <c r="E31" s="396"/>
      <c r="F31" s="416" t="s">
        <v>177</v>
      </c>
      <c r="G31" s="117">
        <v>320647</v>
      </c>
      <c r="H31" s="126"/>
      <c r="I31" s="120"/>
      <c r="J31" s="116"/>
      <c r="K31" s="313"/>
      <c r="L31" s="316">
        <f t="shared" si="5"/>
        <v>320647</v>
      </c>
      <c r="M31"/>
      <c r="U31" s="108"/>
      <c r="V31" s="108"/>
      <c r="W31" s="108"/>
    </row>
    <row r="32" spans="2:23" x14ac:dyDescent="0.25">
      <c r="B32" s="101">
        <v>5</v>
      </c>
      <c r="C32" s="132">
        <f t="shared" si="4"/>
        <v>36</v>
      </c>
      <c r="D32" s="395" t="s">
        <v>358</v>
      </c>
      <c r="E32" s="396"/>
      <c r="F32" s="416" t="s">
        <v>177</v>
      </c>
      <c r="G32" s="117">
        <v>2920701</v>
      </c>
      <c r="H32" s="126"/>
      <c r="I32" s="120"/>
      <c r="J32" s="116"/>
      <c r="K32" s="313"/>
      <c r="L32" s="316">
        <f t="shared" si="5"/>
        <v>2920701</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2019-01-04T15:31:58Z</cp:lastPrinted>
  <dcterms:created xsi:type="dcterms:W3CDTF">2017-07-05T19:48:18Z</dcterms:created>
  <dcterms:modified xsi:type="dcterms:W3CDTF">2019-05-21T21:22:48Z</dcterms:modified>
</cp:coreProperties>
</file>