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2730" yWindow="285" windowWidth="25155" windowHeight="11100" tabRatio="584" firstSheet="4" activeTab="11"/>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CSS'!$B$2:$L$79</definedName>
    <definedName name="_xlnm.Print_Area" localSheetId="5">'4. PEI'!$B$2:$Q$82</definedName>
    <definedName name="_xlnm.Print_Area" localSheetId="6">'5. INN'!$B$2:$Q$64</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2" l="1"/>
  <c r="F15" i="10" l="1"/>
  <c r="O35" i="3" l="1"/>
  <c r="P41" i="2"/>
  <c r="G50" i="22"/>
  <c r="K39" i="22"/>
  <c r="K36" i="22"/>
  <c r="K35" i="22"/>
  <c r="K34" i="22"/>
  <c r="H15" i="14" l="1"/>
  <c r="G14" i="14" l="1"/>
  <c r="H13" i="14"/>
  <c r="G13" i="14"/>
  <c r="E29" i="5" l="1"/>
  <c r="F16" i="5"/>
  <c r="E30" i="5"/>
  <c r="K47" i="22"/>
  <c r="K45" i="22"/>
  <c r="K33" i="22" l="1"/>
  <c r="F16" i="2"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9" i="2" l="1"/>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L44" i="22"/>
  <c r="L45" i="22"/>
  <c r="L46" i="22"/>
  <c r="L47" i="22"/>
  <c r="L48" i="22"/>
  <c r="L49" i="22"/>
  <c r="L50" i="22"/>
  <c r="L51" i="22"/>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07" i="3"/>
  <c r="C111" i="3"/>
  <c r="C122" i="3"/>
  <c r="C127" i="3"/>
  <c r="C128" i="3"/>
  <c r="P96" i="3"/>
  <c r="C93" i="3" s="1"/>
  <c r="C96" i="3" s="1"/>
  <c r="C94" i="3"/>
  <c r="C95" i="3"/>
  <c r="C90" i="3"/>
  <c r="P36" i="3"/>
  <c r="C102" i="3" l="1"/>
  <c r="C119" i="3"/>
  <c r="C98" i="3"/>
  <c r="C103" i="3"/>
  <c r="C99" i="3"/>
  <c r="C106" i="3"/>
  <c r="C114" i="3"/>
  <c r="C115" i="3"/>
  <c r="C123" i="3"/>
  <c r="C129" i="3"/>
  <c r="C130" i="3" s="1"/>
  <c r="C91" i="3"/>
  <c r="C118" i="3"/>
  <c r="C110" i="3"/>
  <c r="C131" i="3"/>
  <c r="B3" i="20"/>
  <c r="B4" i="20"/>
  <c r="C132" i="3" l="1"/>
  <c r="K30" i="19"/>
  <c r="K35" i="19" s="1"/>
  <c r="M27" i="19"/>
  <c r="D17" i="19" s="1"/>
  <c r="H27" i="19"/>
  <c r="G27" i="19"/>
  <c r="J15" i="7" l="1"/>
  <c r="C15" i="7" s="1"/>
  <c r="J14" i="7"/>
  <c r="C14" i="7" s="1"/>
  <c r="K19" i="6"/>
  <c r="K18" i="6"/>
  <c r="K17" i="6"/>
  <c r="K16" i="6"/>
  <c r="K15" i="6"/>
  <c r="K14" i="6"/>
  <c r="L29" i="6"/>
  <c r="L30" i="6"/>
  <c r="L31" i="6"/>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J31" i="5"/>
  <c r="C31" i="5" s="1"/>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4" i="22" l="1"/>
  <c r="C36" i="22"/>
  <c r="C42" i="22"/>
  <c r="C37" i="22"/>
  <c r="C45" i="22"/>
  <c r="C48" i="22"/>
  <c r="C49" i="22"/>
  <c r="C38" i="22"/>
  <c r="C40" i="22"/>
  <c r="C44" i="22"/>
  <c r="C41" i="22"/>
  <c r="C35" i="22"/>
  <c r="C47" i="22"/>
  <c r="C51" i="22"/>
  <c r="C39" i="22"/>
  <c r="C50" i="22"/>
  <c r="C46" i="22"/>
  <c r="C43"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C33" i="3" s="1"/>
  <c r="D7" i="2"/>
  <c r="C71" i="17"/>
  <c r="B71" i="17"/>
  <c r="E71" i="17" s="1"/>
  <c r="E70" i="17"/>
  <c r="C69" i="17"/>
  <c r="B69" i="17"/>
  <c r="E69" i="17" s="1"/>
  <c r="C28" i="6" l="1"/>
  <c r="C29" i="6"/>
  <c r="C31" i="6"/>
  <c r="C30" i="6"/>
  <c r="C29" i="5"/>
  <c r="C30" i="5"/>
  <c r="C28" i="5"/>
  <c r="C32" i="5"/>
  <c r="C16" i="10"/>
  <c r="C15" i="10"/>
  <c r="C13" i="10"/>
  <c r="C14" i="10"/>
  <c r="C17" i="10"/>
  <c r="C37" i="2"/>
  <c r="C45" i="2"/>
  <c r="C38" i="2"/>
  <c r="C46" i="2"/>
  <c r="C39" i="2"/>
  <c r="C47" i="2"/>
  <c r="C40" i="2"/>
  <c r="C48" i="2"/>
  <c r="C36" i="2"/>
  <c r="C41" i="2"/>
  <c r="C42" i="2"/>
  <c r="C43" i="2"/>
  <c r="C44"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3" i="3"/>
  <c r="C70" i="3"/>
  <c r="C66" i="3"/>
  <c r="C67" i="3"/>
  <c r="C64" i="3"/>
  <c r="C63" i="3"/>
  <c r="C60" i="3"/>
  <c r="C50" i="3"/>
  <c r="C52" i="3"/>
  <c r="C44" i="3"/>
  <c r="C78" i="3" l="1"/>
  <c r="C75" i="3"/>
  <c r="C76" i="3"/>
  <c r="C82" i="3"/>
  <c r="C55" i="3"/>
  <c r="C87" i="3"/>
  <c r="C56" i="3"/>
  <c r="C86" i="3"/>
  <c r="C47" i="3"/>
  <c r="C79" i="3"/>
  <c r="C46" i="3"/>
  <c r="C43" i="3"/>
  <c r="C58" i="3"/>
  <c r="C71" i="3"/>
  <c r="C39" i="3"/>
  <c r="C3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F22" i="3" s="1"/>
  <c r="G19" i="3"/>
  <c r="H18" i="3"/>
  <c r="I18" i="3"/>
  <c r="J18" i="3"/>
  <c r="J19" i="3"/>
  <c r="G18" i="3"/>
  <c r="H19" i="3"/>
  <c r="I19" i="3"/>
  <c r="H22" i="3" l="1"/>
  <c r="F32" i="19" s="1"/>
  <c r="N32" i="19" s="1"/>
  <c r="J22" i="3"/>
  <c r="F34" i="19" s="1"/>
  <c r="N34" i="19" s="1"/>
  <c r="I22" i="3"/>
  <c r="F33" i="19" s="1"/>
  <c r="N33" i="19" s="1"/>
  <c r="G22" i="3"/>
  <c r="F31" i="19" s="1"/>
  <c r="K18" i="3"/>
  <c r="K19" i="3"/>
  <c r="D40" i="19" s="1"/>
  <c r="F30" i="19"/>
  <c r="I21" i="3"/>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<sst xmlns="http://schemas.openxmlformats.org/spreadsheetml/2006/main" count="833" uniqueCount="367">
  <si>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</si>
  <si>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</si>
  <si>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</si>
  <si>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</si>
  <si>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</si>
  <si>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</si>
  <si>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</si>
  <si>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</si>
  <si>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</si>
  <si>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</si>
  <si>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</si>
  <si>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</si>
  <si>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</si>
  <si>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</si>
  <si>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</si>
  <si>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</si>
  <si>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</si>
  <si>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</si>
  <si>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</si>
  <si>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</si>
  <si>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</si>
  <si>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</si>
  <si>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</si>
  <si>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</si>
  <si>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</si>
  <si>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</si>
  <si>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</si>
  <si>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</si>
  <si>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</si>
  <si>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</si>
  <si>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</si>
  <si>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</si>
  <si>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</si>
  <si>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</si>
  <si>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</si>
  <si>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</si>
  <si>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</si>
  <si>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</si>
  <si>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</si>
  <si>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</si>
  <si>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</si>
  <si>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</si>
  <si>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</si>
  <si>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</si>
  <si>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</si>
  <si>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</si>
  <si>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</si>
  <si>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</si>
  <si>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</si>
  <si>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</si>
  <si>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</si>
  <si>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</si>
  <si>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</si>
  <si>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</si>
  <si>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</si>
  <si>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</si>
  <si>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</si>
  <si>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</si>
  <si>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</si>
  <si>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</si>
  <si>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</si>
  <si>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</si>
  <si>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</si>
  <si>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</si>
  <si>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</si>
  <si>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</si>
  <si>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</si>
  <si>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</si>
  <si>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</si>
  <si>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</si>
  <si>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</si>
  <si>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</si>
  <si>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</si>
  <si>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</si>
  <si>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</si>
  <si>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</si>
  <si>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</si>
  <si>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</si>
  <si>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</si>
  <si>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</si>
  <si>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</si>
  <si>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</si>
  <si>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</si>
  <si>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</si>
  <si>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</si>
  <si>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</si>
  <si>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</si>
  <si>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</si>
  <si>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</si>
  <si>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</si>
  <si>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</si>
  <si>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</si>
  <si>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</si>
  <si>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</si>
  <si>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</si>
  <si>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</si>
  <si>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</si>
  <si>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</si>
  <si>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</si>
  <si>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</si>
  <si>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</si>
  <si>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</si>
  <si>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</si>
  <si>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</si>
  <si>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</si>
  <si>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</si>
  <si>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</si>
  <si>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</si>
  <si>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</si>
  <si>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</si>
  <si>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</si>
  <si>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</si>
  <si>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</si>
  <si>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</si>
  <si>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</si>
  <si>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</si>
  <si>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</si>
  <si>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</si>
  <si>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</si>
  <si>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</si>
  <si>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</si>
  <si>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</si>
  <si>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</si>
  <si>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</si>
  <si>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</si>
  <si>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</si>
  <si>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</si>
  <si>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</si>
  <si>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</si>
  <si>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</si>
  <si>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</si>
  <si>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</si>
  <si>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</si>
  <si>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</si>
  <si>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</si>
  <si>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</si>
  <si>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</si>
  <si>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</si>
  <si>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</si>
  <si>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</si>
  <si>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</si>
  <si>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</si>
  <si>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</si>
  <si>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</si>
  <si>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</si>
  <si>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</si>
  <si>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</si>
  <si>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</si>
  <si>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</si>
  <si>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</si>
  <si>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</si>
  <si>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</si>
  <si>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</si>
  <si>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</si>
  <si>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</si>
  <si>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</si>
  <si>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</si>
  <si>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</si>
  <si>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</si>
  <si>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</si>
  <si>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</si>
  <si>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</si>
  <si>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</si>
  <si>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</si>
  <si>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</si>
  <si>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</si>
  <si>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</si>
  <si>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</si>
  <si>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</si>
  <si>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</si>
  <si>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</si>
  <si>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</si>
  <si>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</si>
  <si>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</si>
  <si>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</si>
  <si>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</si>
  <si>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</si>
  <si>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</si>
  <si>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</si>
  <si>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</si>
  <si>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</si>
  <si>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</si>
  <si>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</si>
  <si>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</si>
  <si>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</si>
  <si>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</si>
  <si>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</si>
  <si>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</si>
  <si>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</si>
  <si>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</si>
  <si>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</si>
  <si>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</si>
  <si>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</si>
  <si>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</si>
  <si>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</si>
  <si>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</si>
  <si>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</si>
  <si>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</si>
  <si>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</si>
  <si>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</si>
  <si>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</si>
  <si>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</si>
  <si>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</si>
  <si>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</si>
  <si>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</si>
  <si>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</si>
  <si>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</si>
  <si>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</si>
  <si>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</si>
  <si>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</si>
  <si>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</si>
  <si>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</si>
  <si>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</si>
  <si>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</si>
  <si>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</si>
  <si>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</si>
  <si>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</si>
  <si>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</si>
  <si>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</si>
  <si>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</si>
  <si>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</si>
  <si>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</si>
  <si>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</si>
  <si>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</si>
  <si>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</si>
  <si>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</si>
  <si>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</si>
  <si>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</si>
  <si>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</si>
  <si>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</si>
  <si>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</si>
  <si>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</si>
  <si>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</si>
  <si>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</si>
  <si>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</si>
  <si>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</si>
  <si>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</si>
  <si>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</si>
  <si>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</si>
  <si>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</si>
  <si>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</si>
  <si>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</si>
  <si>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</si>
  <si>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</si>
  <si>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</si>
  <si>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</si>
  <si>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</si>
  <si>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</si>
  <si>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</si>
  <si>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</si>
  <si>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</si>
  <si>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</si>
  <si>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</si>
  <si>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</si>
  <si>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</si>
  <si>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</si>
  <si>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</si>
  <si>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</si>
  <si>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</si>
  <si>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</si>
  <si>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</si>
  <si>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</si>
  <si>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</si>
  <si>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</si>
  <si>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</si>
  <si>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</si>
  <si>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</si>
  <si>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</si>
  <si>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</si>
  <si>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</si>
  <si>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</si>
  <si>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</si>
  <si>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</si>
  <si>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</si>
  <si>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</si>
  <si>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</si>
  <si>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</si>
  <si>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</si>
  <si>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</si>
  <si>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</si>
  <si>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</si>
  <si>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</si>
  <si>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</si>
  <si>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</si>
  <si>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</si>
  <si>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</si>
  <si>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</si>
  <si>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</si>
  <si>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</si>
  <si>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</si>
  <si>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</si>
  <si>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</si>
  <si>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</si>
  <si>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</si>
  <si>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</si>
  <si>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</si>
  <si>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</si>
  <si>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</si>
  <si>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</si>
  <si>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</si>
  <si>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</si>
  <si>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</si>
  <si>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</si>
  <si>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</si>
  <si>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</si>
  <si>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</si>
  <si>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</si>
  <si>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</si>
  <si>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</si>
  <si>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</si>
  <si>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</si>
  <si>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</si>
  <si>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</si>
  <si>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</si>
  <si>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</si>
  <si>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</si>
  <si>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</si>
  <si>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</si>
  <si>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</si>
  <si>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</si>
  <si>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</si>
  <si>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</si>
  <si>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RAIZ Promotoras Program</t>
  </si>
  <si>
    <t>Friends Are Good Medicine</t>
  </si>
  <si>
    <t>Prevention Program Support</t>
  </si>
  <si>
    <t>Aging and Veteran Services</t>
  </si>
  <si>
    <t>Brief Intervention Counseling</t>
  </si>
  <si>
    <t>Expanded Child Sexual Abuse Prevention Early Intervention</t>
  </si>
  <si>
    <t>LIFE Path - Early Psychosis</t>
  </si>
  <si>
    <t>School Behavioral Health Integration</t>
  </si>
  <si>
    <t>Outreach for Increasing Recognition of Early Signs of Mental Illness</t>
  </si>
  <si>
    <t>Stigma Discrimination Reduction</t>
  </si>
  <si>
    <t>800 Scenic Drive</t>
  </si>
  <si>
    <t>Modesto</t>
  </si>
  <si>
    <t>Judi Hinkle</t>
  </si>
  <si>
    <t>Accountant III</t>
  </si>
  <si>
    <t>jhinkle@stanbhrs.org</t>
  </si>
  <si>
    <t>209-525-7446</t>
  </si>
  <si>
    <t>FSP - 01 Westside Stanislaus Homeless Outreach</t>
  </si>
  <si>
    <t>FSP - 02 Juvenile Justice</t>
  </si>
  <si>
    <t>FSP - 05 Integrated Forensic Team</t>
  </si>
  <si>
    <t>FSP - 06 High Risk Health &amp; Senior Access</t>
  </si>
  <si>
    <t>FSP - 07 Turning Point-ISA</t>
  </si>
  <si>
    <t>FSP - 08 FSP for Children/Youth with SED</t>
  </si>
  <si>
    <t>GSD - 01 Transition Age Young Adult Drop-In Center</t>
  </si>
  <si>
    <t>GSD - 02 CERT/Warmline</t>
  </si>
  <si>
    <t>GSD - 04 Families Together</t>
  </si>
  <si>
    <t>GSD - 05 Consumer Empowerment Center</t>
  </si>
  <si>
    <t>O&amp;E - 02  Housing Program - Garden Gate Respite</t>
  </si>
  <si>
    <t>O&amp;E - 02 Employment - Garden Gate Respite</t>
  </si>
  <si>
    <t>O&amp;E - 03 Outreach and Engagement</t>
  </si>
  <si>
    <t>GSD - 06 Crisis Stabilization Unit</t>
  </si>
  <si>
    <t>GSD - 07 Crisis Intervention Program for Children and Youth</t>
  </si>
  <si>
    <t>GSD Portion of Westside Stanislaus Homeless Outreach</t>
  </si>
  <si>
    <t>GSD Portion of Integrated Forensic Team</t>
  </si>
  <si>
    <t>GSD Portion of High Risk Health &amp; Senior Access</t>
  </si>
  <si>
    <t>INN-14 - Father Involvement</t>
  </si>
  <si>
    <t>INN-16 - Co-Occurring Disorders Project</t>
  </si>
  <si>
    <t>INN-17 - Suicide Prevention Initiative</t>
  </si>
  <si>
    <t>SU-01 Electronic Health Record (EHR) System</t>
  </si>
  <si>
    <t xml:space="preserve">SU-02 Consumter Family Access to Computing Resources </t>
  </si>
  <si>
    <t>SU-03 Electronic Health Data Warehousing</t>
  </si>
  <si>
    <t>SU-04 Document Imaging</t>
  </si>
  <si>
    <t>Additional revenue received in 17/18</t>
  </si>
  <si>
    <t>Revised staff costs funded by CSS, lowered CSS MHSA cost</t>
  </si>
  <si>
    <t>GSD - 08 Youth Peer Navigators</t>
  </si>
  <si>
    <t>Additional SGF 5% Match</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</si>
</sst>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2">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9" fontId="1" fillId="0" borderId="19" xfId="1" applyFont="1" applyFill="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1" fillId="0" borderId="22" xfId="0" applyFont="1" applyFill="1" applyBorder="1" applyProtection="1">
      <protection locked="0"/>
    </xf>
    <xf numFmtId="14" fontId="1" fillId="0" borderId="19"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D30" sqref="D30"/>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60"/>
      <c r="C1" s="460"/>
      <c r="D1" s="460"/>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8" t="s">
        <v>1</v>
      </c>
      <c r="C7" s="448"/>
      <c r="D7" s="9" t="str">
        <f>IF(ISBLANK('1. Information'!D8),"",'1. Information'!D8)</f>
        <v>Stanislaus</v>
      </c>
      <c r="F7" s="94" t="s">
        <v>2</v>
      </c>
      <c r="G7" s="109">
        <f>IF(ISBLANK('1. Information'!D7),"",'1. Information'!D7)</f>
        <v>43452</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9" t="s">
        <v>30</v>
      </c>
      <c r="G12" s="459"/>
      <c r="H12" s="459"/>
      <c r="I12" s="459"/>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F16" sqref="F1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8" t="s">
        <v>1</v>
      </c>
      <c r="C7" s="448"/>
      <c r="D7" s="9" t="str">
        <f>IF(ISBLANK('1. Information'!D8),"",'1. Information'!D8)</f>
        <v>Stanislaus</v>
      </c>
      <c r="E7" s="3"/>
      <c r="F7" s="97" t="s">
        <v>178</v>
      </c>
      <c r="G7" s="109">
        <f>IF(ISBLANK('1. Information'!D7),"",'1. Information'!D7)</f>
        <v>43452</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ht="30" x14ac:dyDescent="0.2">
      <c r="B13" s="101">
        <v>1</v>
      </c>
      <c r="C13" s="132">
        <f t="shared" ref="C13:C42" si="0">IF(F13&lt;&gt;0,VLOOKUP($D$7,Info_County_Code,2,FALSE),"")</f>
        <v>50</v>
      </c>
      <c r="D13" s="379" t="s">
        <v>34</v>
      </c>
      <c r="E13" s="337" t="s">
        <v>290</v>
      </c>
      <c r="F13" s="336">
        <v>-791.93</v>
      </c>
      <c r="G13" s="364" t="s">
        <v>364</v>
      </c>
    </row>
    <row r="14" spans="2:7" x14ac:dyDescent="0.2">
      <c r="B14" s="101">
        <v>2</v>
      </c>
      <c r="C14" s="132">
        <f t="shared" si="0"/>
        <v>50</v>
      </c>
      <c r="D14" s="149" t="s">
        <v>41</v>
      </c>
      <c r="E14" s="133"/>
      <c r="F14" s="150">
        <v>-17029.37</v>
      </c>
      <c r="G14" s="364" t="s">
        <v>363</v>
      </c>
    </row>
    <row r="15" spans="2:7" x14ac:dyDescent="0.2">
      <c r="B15" s="101">
        <v>3</v>
      </c>
      <c r="C15" s="132">
        <f t="shared" si="0"/>
        <v>50</v>
      </c>
      <c r="D15" s="379" t="s">
        <v>34</v>
      </c>
      <c r="E15" s="337" t="s">
        <v>290</v>
      </c>
      <c r="F15" s="150">
        <f>-92.53+16.03+0.65</f>
        <v>-75.849999999999994</v>
      </c>
      <c r="G15" s="364" t="s">
        <v>366</v>
      </c>
    </row>
    <row r="16" spans="2:7" x14ac:dyDescent="0.2">
      <c r="B16" s="101">
        <v>4</v>
      </c>
      <c r="C16" s="132">
        <f t="shared" si="0"/>
        <v>50</v>
      </c>
      <c r="D16" s="379" t="s">
        <v>35</v>
      </c>
      <c r="E16" s="337" t="s">
        <v>290</v>
      </c>
      <c r="F16" s="150">
        <v>-0.65</v>
      </c>
      <c r="G16" s="364" t="s">
        <v>366</v>
      </c>
    </row>
    <row r="17" spans="2:7" x14ac:dyDescent="0.2">
      <c r="B17" s="101">
        <v>5</v>
      </c>
      <c r="C17" s="132">
        <f t="shared" si="0"/>
        <v>50</v>
      </c>
      <c r="D17" s="379" t="s">
        <v>36</v>
      </c>
      <c r="E17" s="337" t="s">
        <v>290</v>
      </c>
      <c r="F17" s="152">
        <v>-16.03</v>
      </c>
      <c r="G17" s="364" t="s">
        <v>366</v>
      </c>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31.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31.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abSelected="1" topLeftCell="A15" zoomScale="85" zoomScaleNormal="85" workbookViewId="0">
      <selection activeCell="D30" sqref="D30"/>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60"/>
      <c r="C1" s="460"/>
      <c r="D1" s="460"/>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8" t="s">
        <v>1</v>
      </c>
      <c r="C7" s="448"/>
      <c r="D7" s="9" t="str">
        <f>IF(ISBLANK('1. Information'!D8),"",'1. Information'!D8)</f>
        <v>Stanislaus</v>
      </c>
      <c r="F7" s="94" t="s">
        <v>2</v>
      </c>
      <c r="G7" s="38">
        <f>IF(ISBLANK('1. Information'!D7),"",'1. Information'!D7)</f>
        <v>43452</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f t="shared" ref="C13:C52" si="0">IF(I13&lt;&gt;0,VLOOKUP($D$7,Info_County_Code,2,FALSE),"")</f>
        <v>50</v>
      </c>
      <c r="D13" s="379" t="s">
        <v>294</v>
      </c>
      <c r="E13" s="149" t="s">
        <v>181</v>
      </c>
      <c r="F13" s="390" t="s">
        <v>34</v>
      </c>
      <c r="G13" s="92">
        <f>5114552+4328819</f>
        <v>9443371</v>
      </c>
      <c r="H13" s="92">
        <f>27232.1+45714.6</f>
        <v>72946.7</v>
      </c>
      <c r="I13" s="91">
        <f>SUM(G13:H13)</f>
        <v>9516317.6999999993</v>
      </c>
    </row>
    <row r="14" spans="2:9" x14ac:dyDescent="0.2">
      <c r="B14" s="101">
        <v>2</v>
      </c>
      <c r="C14" s="132">
        <f t="shared" si="0"/>
        <v>50</v>
      </c>
      <c r="D14" s="379" t="s">
        <v>294</v>
      </c>
      <c r="E14" s="379" t="s">
        <v>181</v>
      </c>
      <c r="F14" s="390" t="s">
        <v>35</v>
      </c>
      <c r="G14" s="92">
        <f>2543890+805829</f>
        <v>3349719</v>
      </c>
      <c r="H14" s="92">
        <v>-45714.6</v>
      </c>
      <c r="I14" s="91">
        <f t="shared" ref="I14:I52" si="1">SUM(G14:H14)</f>
        <v>3304004.4</v>
      </c>
    </row>
    <row r="15" spans="2:9" x14ac:dyDescent="0.2">
      <c r="B15" s="101">
        <v>3</v>
      </c>
      <c r="C15" s="132">
        <f t="shared" si="0"/>
        <v>50</v>
      </c>
      <c r="D15" s="379" t="s">
        <v>290</v>
      </c>
      <c r="E15" s="149" t="s">
        <v>182</v>
      </c>
      <c r="F15" s="390" t="s">
        <v>34</v>
      </c>
      <c r="G15" s="92">
        <v>15788003.49</v>
      </c>
      <c r="H15" s="92">
        <f>-64017-8437.85+1315.19+76.49</f>
        <v>-71063.17</v>
      </c>
      <c r="I15" s="91">
        <f t="shared" si="1"/>
        <v>15716940.32</v>
      </c>
    </row>
    <row r="16" spans="2:9" x14ac:dyDescent="0.2">
      <c r="B16" s="101">
        <v>4</v>
      </c>
      <c r="C16" s="132">
        <f t="shared" si="0"/>
        <v>50</v>
      </c>
      <c r="D16" s="379" t="s">
        <v>290</v>
      </c>
      <c r="E16" s="149" t="s">
        <v>182</v>
      </c>
      <c r="F16" s="390" t="s">
        <v>35</v>
      </c>
      <c r="G16" s="92">
        <v>4520702.4400000004</v>
      </c>
      <c r="H16" s="92">
        <v>-76.489999999999995</v>
      </c>
      <c r="I16" s="91">
        <f t="shared" si="1"/>
        <v>4520625.95</v>
      </c>
    </row>
    <row r="17" spans="2:11" x14ac:dyDescent="0.2">
      <c r="B17" s="101">
        <v>5</v>
      </c>
      <c r="C17" s="132">
        <f t="shared" si="0"/>
        <v>50</v>
      </c>
      <c r="D17" s="379" t="s">
        <v>290</v>
      </c>
      <c r="E17" s="149" t="s">
        <v>182</v>
      </c>
      <c r="F17" s="390" t="s">
        <v>36</v>
      </c>
      <c r="G17" s="92">
        <v>1030057.73</v>
      </c>
      <c r="H17" s="92">
        <v>-1315.19</v>
      </c>
      <c r="I17" s="91">
        <f t="shared" si="1"/>
        <v>1028742.54</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8" t="s">
        <v>169</v>
      </c>
      <c r="B1" s="469"/>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1" t="s">
        <v>198</v>
      </c>
      <c r="B2" s="471"/>
      <c r="C2" s="471"/>
      <c r="D2" s="471"/>
      <c r="E2" s="471"/>
    </row>
    <row r="3" spans="1:7" ht="14.25" customHeight="1" x14ac:dyDescent="0.25">
      <c r="A3" s="471" t="s">
        <v>307</v>
      </c>
      <c r="B3" s="471"/>
      <c r="C3" s="471"/>
      <c r="D3" s="471"/>
      <c r="E3" s="471"/>
    </row>
    <row r="4" spans="1:7" ht="14.25" customHeight="1" thickBot="1" x14ac:dyDescent="0.3">
      <c r="A4" s="173"/>
      <c r="B4" s="174"/>
      <c r="C4" s="175"/>
      <c r="D4" s="176"/>
    </row>
    <row r="5" spans="1:7" ht="14.25" customHeight="1" x14ac:dyDescent="0.25">
      <c r="A5" s="177" t="s">
        <v>199</v>
      </c>
      <c r="B5" s="470" t="s">
        <v>200</v>
      </c>
      <c r="C5" s="470"/>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9" t="s">
        <v>280</v>
      </c>
      <c r="C7" s="427"/>
      <c r="F7" s="224"/>
    </row>
    <row r="8" spans="1:7" ht="55.5" customHeight="1" x14ac:dyDescent="0.2">
      <c r="B8" s="430" t="s">
        <v>281</v>
      </c>
      <c r="C8" s="431"/>
      <c r="F8" s="222"/>
      <c r="G8" s="224"/>
    </row>
    <row r="9" spans="1:7" ht="39.950000000000003" customHeight="1" x14ac:dyDescent="0.2">
      <c r="B9" s="430" t="s">
        <v>279</v>
      </c>
      <c r="C9" s="431"/>
      <c r="E9" s="222"/>
      <c r="F9" s="223"/>
    </row>
    <row r="10" spans="1:7" ht="39.950000000000003" customHeight="1" x14ac:dyDescent="0.2">
      <c r="B10" s="431" t="s">
        <v>264</v>
      </c>
      <c r="C10" s="431"/>
      <c r="D10" s="221"/>
    </row>
    <row r="11" spans="1:7" x14ac:dyDescent="0.2"/>
    <row r="12" spans="1:7" ht="29.25" customHeight="1" x14ac:dyDescent="0.2">
      <c r="B12" s="427" t="s">
        <v>266</v>
      </c>
      <c r="C12" s="428" t="s">
        <v>272</v>
      </c>
    </row>
    <row r="13" spans="1:7" ht="18" customHeight="1" x14ac:dyDescent="0.2">
      <c r="B13" s="427"/>
      <c r="C13" s="427"/>
    </row>
    <row r="14" spans="1:7" ht="60.75" customHeight="1" x14ac:dyDescent="0.2">
      <c r="B14" s="424" t="s">
        <v>267</v>
      </c>
      <c r="C14" s="381" t="s">
        <v>311</v>
      </c>
    </row>
    <row r="15" spans="1:7" ht="68.25" customHeight="1" x14ac:dyDescent="0.2">
      <c r="B15" s="425"/>
      <c r="C15" s="382" t="s">
        <v>321</v>
      </c>
    </row>
    <row r="16" spans="1:7" ht="66" customHeight="1" x14ac:dyDescent="0.2">
      <c r="B16" s="426"/>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43452</v>
      </c>
    </row>
    <row r="8" spans="1:5" ht="34.5" customHeight="1" x14ac:dyDescent="0.2">
      <c r="A8" s="99"/>
      <c r="B8" s="130">
        <v>2</v>
      </c>
      <c r="C8" s="102" t="s">
        <v>1</v>
      </c>
      <c r="D8" s="365" t="s">
        <v>92</v>
      </c>
    </row>
    <row r="9" spans="1:5" ht="34.5" customHeight="1" x14ac:dyDescent="0.2">
      <c r="A9" s="99"/>
      <c r="B9" s="130">
        <v>3</v>
      </c>
      <c r="C9" s="103" t="s">
        <v>125</v>
      </c>
      <c r="D9" s="104">
        <f>IF(ISBLANK(D8),"",VLOOKUP(D8,Info_County_Code,2))</f>
        <v>50</v>
      </c>
    </row>
    <row r="10" spans="1:5" ht="34.5" customHeight="1" x14ac:dyDescent="0.2">
      <c r="A10" s="99"/>
      <c r="B10" s="130">
        <v>4</v>
      </c>
      <c r="C10" s="102" t="s">
        <v>126</v>
      </c>
      <c r="D10" s="419" t="s">
        <v>332</v>
      </c>
    </row>
    <row r="11" spans="1:5" ht="34.5" customHeight="1" x14ac:dyDescent="0.2">
      <c r="A11" s="99"/>
      <c r="B11" s="130">
        <v>5</v>
      </c>
      <c r="C11" s="102" t="s">
        <v>127</v>
      </c>
      <c r="D11" s="365" t="s">
        <v>333</v>
      </c>
    </row>
    <row r="12" spans="1:5" ht="34.5" customHeight="1" x14ac:dyDescent="0.2">
      <c r="A12" s="99"/>
      <c r="B12" s="130">
        <v>6</v>
      </c>
      <c r="C12" s="102" t="s">
        <v>128</v>
      </c>
      <c r="D12" s="244">
        <v>95350</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334</v>
      </c>
    </row>
    <row r="15" spans="1:5" ht="34.5" customHeight="1" x14ac:dyDescent="0.2">
      <c r="A15" s="99"/>
      <c r="B15" s="130">
        <v>9</v>
      </c>
      <c r="C15" s="383" t="s">
        <v>193</v>
      </c>
      <c r="D15" s="420" t="s">
        <v>335</v>
      </c>
    </row>
    <row r="16" spans="1:5" ht="34.5" customHeight="1" x14ac:dyDescent="0.2">
      <c r="A16" s="99"/>
      <c r="B16" s="130">
        <v>10</v>
      </c>
      <c r="C16" s="383" t="s">
        <v>211</v>
      </c>
      <c r="D16" s="420" t="s">
        <v>336</v>
      </c>
    </row>
    <row r="17" spans="1:4" ht="34.5" customHeight="1" x14ac:dyDescent="0.2">
      <c r="A17" s="99"/>
      <c r="B17" s="130">
        <v>11</v>
      </c>
      <c r="C17" s="102" t="s">
        <v>194</v>
      </c>
      <c r="D17" s="421" t="s">
        <v>337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85" zoomScaleNormal="85" zoomScaleSheetLayoutView="40" workbookViewId="0">
      <pane xSplit="3" ySplit="20" topLeftCell="D27" activePane="bottomRight" state="frozen"/>
      <selection activeCell="D30" sqref="D30"/>
      <selection pane="topRight" activeCell="D30" sqref="D30"/>
      <selection pane="bottomLeft" activeCell="D30" sqref="D30"/>
      <selection pane="bottomRight" activeCell="D30" sqref="D30"/>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Stanislaus</v>
      </c>
      <c r="F7" s="360" t="s">
        <v>2</v>
      </c>
      <c r="G7" s="259">
        <f>IF(ISBLANK('1. Information'!D7),"",'1. Information'!D7)</f>
        <v>43452</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214008.47</v>
      </c>
      <c r="E15" s="260"/>
      <c r="F15" s="260"/>
      <c r="G15" s="90"/>
      <c r="H15" s="260"/>
      <c r="I15" s="260"/>
      <c r="J15" s="260"/>
      <c r="K15" s="260"/>
      <c r="L15" s="260"/>
      <c r="M15" s="260"/>
      <c r="N15" s="260"/>
    </row>
    <row r="16" spans="2:14" x14ac:dyDescent="0.25">
      <c r="B16" s="24">
        <v>2</v>
      </c>
      <c r="C16" s="332" t="s">
        <v>306</v>
      </c>
      <c r="D16" s="394">
        <v>500000</v>
      </c>
      <c r="E16" s="260"/>
      <c r="F16" s="260"/>
      <c r="G16" s="90"/>
      <c r="H16" s="260"/>
      <c r="I16" s="260"/>
      <c r="J16" s="260"/>
      <c r="K16" s="260"/>
      <c r="L16" s="260"/>
      <c r="M16" s="260"/>
      <c r="N16" s="260"/>
    </row>
    <row r="17" spans="2:14" x14ac:dyDescent="0.25">
      <c r="B17" s="24">
        <v>3</v>
      </c>
      <c r="C17" s="332" t="s">
        <v>312</v>
      </c>
      <c r="D17" s="91">
        <f>D16+M22+M27+SUM('9. Adjustment (MHSA)'!F83:F112)</f>
        <v>500000</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162646.43720000001</v>
      </c>
      <c r="E23" s="380">
        <f>D15*0.19</f>
        <v>40661.609300000004</v>
      </c>
      <c r="F23" s="261">
        <f>D15*0.05</f>
        <v>10700.423500000001</v>
      </c>
      <c r="G23" s="327"/>
      <c r="H23" s="327"/>
      <c r="I23" s="327"/>
      <c r="J23" s="334"/>
      <c r="K23" s="327"/>
      <c r="L23" s="327"/>
      <c r="M23" s="327"/>
      <c r="N23" s="333">
        <f>SUM(D23:M23)</f>
        <v>214008.47000000003</v>
      </c>
    </row>
    <row r="24" spans="2:14" ht="24" customHeight="1" x14ac:dyDescent="0.25">
      <c r="B24" s="24">
        <v>6</v>
      </c>
      <c r="C24" s="266" t="s">
        <v>25</v>
      </c>
      <c r="D24" s="339">
        <f t="shared" ref="D24:L24" si="0">SUM(D22:D23)</f>
        <v>162646.43720000001</v>
      </c>
      <c r="E24" s="339">
        <f t="shared" si="0"/>
        <v>40661.609300000004</v>
      </c>
      <c r="F24" s="339">
        <f t="shared" si="0"/>
        <v>10700.423500000001</v>
      </c>
      <c r="G24" s="339">
        <f t="shared" si="0"/>
        <v>0</v>
      </c>
      <c r="H24" s="339">
        <f t="shared" si="0"/>
        <v>0</v>
      </c>
      <c r="I24" s="339">
        <f t="shared" si="0"/>
        <v>0</v>
      </c>
      <c r="J24" s="339">
        <f t="shared" si="0"/>
        <v>0</v>
      </c>
      <c r="K24" s="339">
        <f t="shared" si="0"/>
        <v>0</v>
      </c>
      <c r="L24" s="339">
        <f t="shared" si="0"/>
        <v>0</v>
      </c>
      <c r="M24" s="339">
        <v>0</v>
      </c>
      <c r="N24" s="371">
        <f>SUM(D24:M24)</f>
        <v>214008.47000000003</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-1515000</v>
      </c>
      <c r="E27" s="334"/>
      <c r="F27" s="334"/>
      <c r="G27" s="264">
        <f>'3. CSS'!F20</f>
        <v>515000</v>
      </c>
      <c r="H27" s="264">
        <f>'3. CSS'!F21</f>
        <v>1000000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16555806.109999999</v>
      </c>
      <c r="E30" s="264">
        <f>'4. PEI'!F21</f>
        <v>3657916.0700000003</v>
      </c>
      <c r="F30" s="264">
        <f>'5. INN'!F22</f>
        <v>987052.01</v>
      </c>
      <c r="G30" s="264">
        <f>'6. WET'!F20</f>
        <v>510119.67</v>
      </c>
      <c r="H30" s="264">
        <f>'7. CFTN'!F21</f>
        <v>1033027.96</v>
      </c>
      <c r="I30" s="334"/>
      <c r="J30" s="264">
        <f>'8. WET RP, HP'!E14</f>
        <v>0</v>
      </c>
      <c r="K30" s="264">
        <f>'4. PEI'!F17</f>
        <v>0</v>
      </c>
      <c r="L30" s="264">
        <f>'8. WET RP, HP'!E15</f>
        <v>0</v>
      </c>
      <c r="M30" s="334"/>
      <c r="N30" s="264">
        <f t="shared" ref="N30:N35" si="1">SUM(D30:M30)</f>
        <v>22743921.820000004</v>
      </c>
    </row>
    <row r="31" spans="2:14" ht="24" customHeight="1" x14ac:dyDescent="0.25">
      <c r="B31" s="24">
        <v>9</v>
      </c>
      <c r="C31" s="262" t="s">
        <v>5</v>
      </c>
      <c r="D31" s="261">
        <f>'3. CSS'!G25</f>
        <v>6457650.79</v>
      </c>
      <c r="E31" s="261">
        <f>'4. PEI'!G21</f>
        <v>104452.51</v>
      </c>
      <c r="F31" s="261">
        <f>'5. INN'!G22</f>
        <v>460913.33</v>
      </c>
      <c r="G31" s="261">
        <f>'6. WET'!G20</f>
        <v>0</v>
      </c>
      <c r="H31" s="261">
        <f>'7. CFTN'!G21</f>
        <v>0</v>
      </c>
      <c r="I31" s="7"/>
      <c r="J31" s="261">
        <f>'8. WET RP, HP'!F14</f>
        <v>0</v>
      </c>
      <c r="K31" s="261">
        <f>'4. PEI'!G17</f>
        <v>0</v>
      </c>
      <c r="L31" s="261">
        <f>'8. WET RP, HP'!F15</f>
        <v>0</v>
      </c>
      <c r="M31" s="327"/>
      <c r="N31" s="264">
        <f t="shared" si="1"/>
        <v>7023016.6299999999</v>
      </c>
    </row>
    <row r="32" spans="2:14" ht="24" customHeight="1" x14ac:dyDescent="0.25">
      <c r="B32" s="24">
        <v>10</v>
      </c>
      <c r="C32" s="262" t="s">
        <v>6</v>
      </c>
      <c r="D32" s="261">
        <f>'3. CSS'!H25</f>
        <v>111065</v>
      </c>
      <c r="E32" s="261">
        <f>'4. PEI'!H21</f>
        <v>0</v>
      </c>
      <c r="F32" s="261">
        <f>'5. INN'!H22</f>
        <v>0</v>
      </c>
      <c r="G32" s="261">
        <f>'6. WET'!H20</f>
        <v>0</v>
      </c>
      <c r="H32" s="261">
        <f>'7. CFTN'!H21</f>
        <v>0</v>
      </c>
      <c r="I32" s="7"/>
      <c r="J32" s="261">
        <f>'8. WET RP, HP'!G14</f>
        <v>0</v>
      </c>
      <c r="K32" s="261">
        <f>'4. PEI'!H17</f>
        <v>0</v>
      </c>
      <c r="L32" s="261">
        <f>'8. WET RP, HP'!G15</f>
        <v>0</v>
      </c>
      <c r="M32" s="327"/>
      <c r="N32" s="264">
        <f t="shared" si="1"/>
        <v>111065</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595555.69999999995</v>
      </c>
      <c r="E34" s="261">
        <f>'4. PEI'!J21</f>
        <v>3297.8100000000004</v>
      </c>
      <c r="F34" s="261">
        <f>'5. INN'!J22</f>
        <v>15007.49</v>
      </c>
      <c r="G34" s="261">
        <f>'6. WET'!J20</f>
        <v>162.63</v>
      </c>
      <c r="H34" s="261">
        <f>'7. CFTN'!J21</f>
        <v>0</v>
      </c>
      <c r="I34" s="7"/>
      <c r="J34" s="261">
        <f>'8. WET RP, HP'!I14</f>
        <v>0</v>
      </c>
      <c r="K34" s="261">
        <f>'4. PEI'!J17</f>
        <v>0</v>
      </c>
      <c r="L34" s="261">
        <f>'8. WET RP, HP'!I15</f>
        <v>0</v>
      </c>
      <c r="M34" s="327"/>
      <c r="N34" s="264">
        <f t="shared" si="1"/>
        <v>614023.63</v>
      </c>
    </row>
    <row r="35" spans="2:14" ht="24" customHeight="1" x14ac:dyDescent="0.25">
      <c r="B35" s="24">
        <v>13</v>
      </c>
      <c r="C35" s="266" t="s">
        <v>25</v>
      </c>
      <c r="D35" s="267">
        <f>SUM(D30:D34)</f>
        <v>23720077.599999998</v>
      </c>
      <c r="E35" s="267">
        <f t="shared" ref="E35:L35" si="2">SUM(E30:E34)</f>
        <v>3765666.39</v>
      </c>
      <c r="F35" s="267">
        <f t="shared" si="2"/>
        <v>1462972.83</v>
      </c>
      <c r="G35" s="267">
        <f t="shared" si="2"/>
        <v>510282.3</v>
      </c>
      <c r="H35" s="267">
        <f t="shared" si="2"/>
        <v>1033027.96</v>
      </c>
      <c r="I35" s="267">
        <f t="shared" si="2"/>
        <v>0</v>
      </c>
      <c r="J35" s="267">
        <f t="shared" si="2"/>
        <v>0</v>
      </c>
      <c r="K35" s="267">
        <f t="shared" si="2"/>
        <v>0</v>
      </c>
      <c r="L35" s="267">
        <f t="shared" si="2"/>
        <v>0</v>
      </c>
      <c r="M35" s="7"/>
      <c r="N35" s="339">
        <f t="shared" si="1"/>
        <v>30492027.080000002</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105629.62</v>
      </c>
      <c r="F39" s="90"/>
      <c r="G39" s="260"/>
      <c r="H39" s="260"/>
      <c r="I39" s="260"/>
      <c r="J39" s="260"/>
      <c r="K39" s="260"/>
      <c r="L39" s="260"/>
      <c r="M39" s="260"/>
      <c r="N39" s="347"/>
    </row>
    <row r="40" spans="2:14" x14ac:dyDescent="0.25">
      <c r="B40" s="24">
        <v>15</v>
      </c>
      <c r="C40" s="358" t="s">
        <v>23</v>
      </c>
      <c r="D40" s="366">
        <f>'3. CSS'!K15+'4. PEI'!K15+'5. INN'!K19+'6. WET'!K15+'7. CFTN'!K16+'7. CFTN'!K17</f>
        <v>182671.69</v>
      </c>
      <c r="E40" s="263"/>
      <c r="F40" s="260"/>
      <c r="G40" s="260"/>
      <c r="H40" s="260"/>
      <c r="I40" s="260"/>
      <c r="J40" s="260"/>
      <c r="K40" s="260"/>
      <c r="L40" s="260"/>
      <c r="M40" s="260"/>
      <c r="N40" s="347"/>
    </row>
    <row r="41" spans="2:14" x14ac:dyDescent="0.25">
      <c r="B41" s="24">
        <v>16</v>
      </c>
      <c r="C41" s="358" t="s">
        <v>24</v>
      </c>
      <c r="D41" s="366">
        <f>'3. CSS'!K16+'4. PEI'!K16+'5. INN'!K15+'5. INN'!K18+'6. WET'!K16+'7. CFTN'!K18+'7. CFTN'!K19</f>
        <v>3390700.9299999992</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view="pageBreakPreview" topLeftCell="A29" zoomScale="80" zoomScaleNormal="70" zoomScaleSheetLayoutView="80" zoomScalePageLayoutView="70" workbookViewId="0">
      <selection activeCell="F20" sqref="F20"/>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7"/>
      <c r="C1" s="447"/>
      <c r="D1" s="447"/>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8" t="s">
        <v>1</v>
      </c>
      <c r="C7" s="448"/>
      <c r="D7" s="9" t="str">
        <f>IF(ISBLANK('1. Information'!D8),"",'1. Information'!D8)</f>
        <v>Stanislaus</v>
      </c>
      <c r="E7" s="281"/>
      <c r="F7" s="279" t="s">
        <v>2</v>
      </c>
      <c r="G7" s="282">
        <f>IF(ISBLANK('1. Information'!D7),"",'1. Information'!D7)</f>
        <v>43452</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0" t="s">
        <v>30</v>
      </c>
      <c r="H12" s="438"/>
      <c r="I12" s="438"/>
      <c r="J12" s="441"/>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5" t="s">
        <v>7</v>
      </c>
      <c r="D14" s="445"/>
      <c r="E14" s="445"/>
      <c r="F14" s="367"/>
      <c r="G14" s="368"/>
      <c r="H14" s="353"/>
      <c r="I14" s="290"/>
      <c r="J14" s="290"/>
      <c r="K14" s="292">
        <f>SUM(F14:J14)</f>
        <v>0</v>
      </c>
      <c r="L14"/>
    </row>
    <row r="15" spans="1:12" ht="15" customHeight="1" x14ac:dyDescent="0.25">
      <c r="A15" s="281"/>
      <c r="B15" s="277">
        <v>2</v>
      </c>
      <c r="C15" s="445" t="s">
        <v>8</v>
      </c>
      <c r="D15" s="445"/>
      <c r="E15" s="445"/>
      <c r="F15" s="367"/>
      <c r="G15" s="290"/>
      <c r="H15" s="290"/>
      <c r="I15" s="290"/>
      <c r="J15" s="290"/>
      <c r="K15" s="292">
        <f t="shared" ref="K15:K23" si="0">SUM(F15:J15)</f>
        <v>0</v>
      </c>
      <c r="L15"/>
    </row>
    <row r="16" spans="1:12" x14ac:dyDescent="0.25">
      <c r="A16" s="281"/>
      <c r="B16" s="277">
        <v>3</v>
      </c>
      <c r="C16" s="445" t="s">
        <v>129</v>
      </c>
      <c r="D16" s="445"/>
      <c r="E16" s="445"/>
      <c r="F16" s="367">
        <f>1556441.21+162646.44+38483.41</f>
        <v>1757571.0599999998</v>
      </c>
      <c r="G16" s="290">
        <v>706284</v>
      </c>
      <c r="H16" s="290"/>
      <c r="I16" s="290"/>
      <c r="J16" s="290">
        <v>310.83999999999997</v>
      </c>
      <c r="K16" s="292">
        <f t="shared" si="0"/>
        <v>2464165.8999999994</v>
      </c>
      <c r="L16"/>
    </row>
    <row r="17" spans="1:12" x14ac:dyDescent="0.25">
      <c r="A17" s="281"/>
      <c r="B17" s="277">
        <v>4</v>
      </c>
      <c r="C17" s="446" t="s">
        <v>218</v>
      </c>
      <c r="D17" s="446"/>
      <c r="E17" s="446"/>
      <c r="F17" s="367"/>
      <c r="G17" s="290"/>
      <c r="H17" s="290"/>
      <c r="I17" s="290"/>
      <c r="J17" s="290"/>
      <c r="K17" s="292">
        <f t="shared" si="0"/>
        <v>0</v>
      </c>
      <c r="L17"/>
    </row>
    <row r="18" spans="1:12" x14ac:dyDescent="0.25">
      <c r="A18" s="281"/>
      <c r="B18" s="277">
        <v>5</v>
      </c>
      <c r="C18" s="446" t="s">
        <v>219</v>
      </c>
      <c r="D18" s="446"/>
      <c r="E18" s="446"/>
      <c r="F18" s="367"/>
      <c r="G18" s="294"/>
      <c r="H18" s="294"/>
      <c r="I18" s="294"/>
      <c r="J18" s="294"/>
      <c r="K18" s="292">
        <f t="shared" si="0"/>
        <v>0</v>
      </c>
      <c r="L18"/>
    </row>
    <row r="19" spans="1:12" x14ac:dyDescent="0.25">
      <c r="A19" s="281"/>
      <c r="B19" s="277">
        <v>6</v>
      </c>
      <c r="C19" s="445" t="s">
        <v>216</v>
      </c>
      <c r="D19" s="445"/>
      <c r="E19" s="445"/>
      <c r="F19" s="290"/>
      <c r="G19" s="294"/>
      <c r="H19" s="294"/>
      <c r="I19" s="294"/>
      <c r="J19" s="294"/>
      <c r="K19" s="293">
        <f t="shared" si="0"/>
        <v>0</v>
      </c>
      <c r="L19"/>
    </row>
    <row r="20" spans="1:12" x14ac:dyDescent="0.25">
      <c r="A20" s="283"/>
      <c r="B20" s="256">
        <v>7</v>
      </c>
      <c r="C20" s="442" t="s">
        <v>226</v>
      </c>
      <c r="D20" s="443"/>
      <c r="E20" s="444"/>
      <c r="F20" s="290">
        <v>515000</v>
      </c>
      <c r="G20" s="293"/>
      <c r="H20" s="293"/>
      <c r="I20" s="293"/>
      <c r="J20" s="293"/>
      <c r="K20" s="293">
        <f t="shared" si="0"/>
        <v>515000</v>
      </c>
      <c r="L20"/>
    </row>
    <row r="21" spans="1:12" x14ac:dyDescent="0.25">
      <c r="A21" s="283"/>
      <c r="B21" s="256">
        <v>8</v>
      </c>
      <c r="C21" s="442" t="s">
        <v>227</v>
      </c>
      <c r="D21" s="443"/>
      <c r="E21" s="444"/>
      <c r="F21" s="290">
        <v>1000000</v>
      </c>
      <c r="G21" s="293"/>
      <c r="H21" s="293"/>
      <c r="I21" s="293"/>
      <c r="J21" s="293"/>
      <c r="K21" s="293">
        <f t="shared" si="0"/>
        <v>1000000</v>
      </c>
      <c r="L21"/>
    </row>
    <row r="22" spans="1:12" x14ac:dyDescent="0.25">
      <c r="A22" s="283"/>
      <c r="B22" s="256">
        <v>9</v>
      </c>
      <c r="C22" s="442" t="s">
        <v>225</v>
      </c>
      <c r="D22" s="443"/>
      <c r="E22" s="444"/>
      <c r="F22" s="290"/>
      <c r="G22" s="293"/>
      <c r="H22" s="293"/>
      <c r="I22" s="293"/>
      <c r="J22" s="293"/>
      <c r="K22" s="293">
        <f t="shared" si="0"/>
        <v>0</v>
      </c>
      <c r="L22"/>
    </row>
    <row r="23" spans="1:12" x14ac:dyDescent="0.25">
      <c r="A23" s="281"/>
      <c r="B23" s="277">
        <v>10</v>
      </c>
      <c r="C23" s="445" t="s">
        <v>140</v>
      </c>
      <c r="D23" s="445"/>
      <c r="E23" s="445"/>
      <c r="F23" s="294">
        <f>SUM(G33:G132)</f>
        <v>14798235.049999999</v>
      </c>
      <c r="G23" s="293">
        <f>SUM(H33:H132)</f>
        <v>5751366.79</v>
      </c>
      <c r="H23" s="293">
        <f>SUM(I33:I132)</f>
        <v>111065</v>
      </c>
      <c r="I23" s="293">
        <f>SUM(J33:J132)</f>
        <v>0</v>
      </c>
      <c r="J23" s="293">
        <f>SUM(K33:K132)</f>
        <v>595244.86</v>
      </c>
      <c r="K23" s="293">
        <f t="shared" si="0"/>
        <v>21255911.699999999</v>
      </c>
      <c r="L23"/>
    </row>
    <row r="24" spans="1:12" ht="30.95" customHeight="1" x14ac:dyDescent="0.25">
      <c r="A24" s="281"/>
      <c r="B24" s="277">
        <v>11</v>
      </c>
      <c r="C24" s="432" t="s">
        <v>223</v>
      </c>
      <c r="D24" s="433"/>
      <c r="E24" s="434"/>
      <c r="F24" s="7">
        <f>SUM(F14:F16,F18:F23)</f>
        <v>18070806.109999999</v>
      </c>
      <c r="G24" s="7">
        <f>SUM(G14:G16,G18:G23)</f>
        <v>6457650.79</v>
      </c>
      <c r="H24" s="43">
        <f t="shared" ref="H24:J24" si="1">SUM(H14:H16,H18:H23)</f>
        <v>111065</v>
      </c>
      <c r="I24" s="7">
        <f t="shared" si="1"/>
        <v>0</v>
      </c>
      <c r="J24" s="7">
        <f t="shared" si="1"/>
        <v>595555.69999999995</v>
      </c>
      <c r="K24" s="7">
        <f>SUM(K14:K16,K18:K23)</f>
        <v>25235077.599999998</v>
      </c>
      <c r="L24"/>
    </row>
    <row r="25" spans="1:12" s="325" customFormat="1" ht="30.95" customHeight="1" x14ac:dyDescent="0.25">
      <c r="A25" s="281"/>
      <c r="B25" s="277">
        <v>12</v>
      </c>
      <c r="C25" s="439" t="s">
        <v>283</v>
      </c>
      <c r="D25" s="439"/>
      <c r="E25" s="439"/>
      <c r="F25" s="7">
        <f>SUM(F14:F16,F18,F23)</f>
        <v>16555806.109999999</v>
      </c>
      <c r="G25" s="299">
        <f t="shared" ref="G25:J25" si="2">SUM(G14:G16,G18,G23)</f>
        <v>6457650.79</v>
      </c>
      <c r="H25" s="299">
        <f t="shared" si="2"/>
        <v>111065</v>
      </c>
      <c r="I25" s="299">
        <f t="shared" si="2"/>
        <v>0</v>
      </c>
      <c r="J25" s="7">
        <f t="shared" si="2"/>
        <v>595555.69999999995</v>
      </c>
      <c r="K25" s="7">
        <f>SUM(K14:K16,K18,K23)</f>
        <v>23720077.599999998</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8" t="s">
        <v>166</v>
      </c>
      <c r="E31" s="438"/>
      <c r="F31" s="438"/>
      <c r="G31" s="344" t="s">
        <v>28</v>
      </c>
      <c r="H31" s="435" t="s">
        <v>30</v>
      </c>
      <c r="I31" s="436"/>
      <c r="J31" s="436"/>
      <c r="K31" s="437"/>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50</v>
      </c>
      <c r="D33" s="416" t="s">
        <v>338</v>
      </c>
      <c r="E33" s="416"/>
      <c r="F33" s="297" t="s">
        <v>102</v>
      </c>
      <c r="G33" s="291">
        <v>2770698.41</v>
      </c>
      <c r="H33" s="291">
        <v>1903301.83</v>
      </c>
      <c r="I33" s="291"/>
      <c r="J33" s="318"/>
      <c r="K33" s="291">
        <f>45695.37+12627.83</f>
        <v>58323.200000000004</v>
      </c>
      <c r="L33" s="293">
        <f>SUM(G33:K33)</f>
        <v>4732323.4400000004</v>
      </c>
    </row>
    <row r="34" spans="1:12" s="359" customFormat="1" x14ac:dyDescent="0.25">
      <c r="A34" s="281"/>
      <c r="B34" s="295">
        <v>2</v>
      </c>
      <c r="C34" s="296">
        <f t="shared" si="3"/>
        <v>50</v>
      </c>
      <c r="D34" s="416" t="s">
        <v>339</v>
      </c>
      <c r="E34" s="416"/>
      <c r="F34" s="297" t="s">
        <v>102</v>
      </c>
      <c r="G34" s="291">
        <v>425697.05</v>
      </c>
      <c r="H34" s="291">
        <v>200938.86</v>
      </c>
      <c r="I34" s="291"/>
      <c r="J34" s="318"/>
      <c r="K34" s="291">
        <f>25770.07+71.47</f>
        <v>25841.54</v>
      </c>
      <c r="L34" s="293">
        <f t="shared" ref="L34:L97" si="4">SUM(G34:K34)</f>
        <v>652477.44999999995</v>
      </c>
    </row>
    <row r="35" spans="1:12" s="359" customFormat="1" x14ac:dyDescent="0.25">
      <c r="A35" s="281"/>
      <c r="B35" s="295">
        <v>3</v>
      </c>
      <c r="C35" s="296">
        <f t="shared" si="3"/>
        <v>50</v>
      </c>
      <c r="D35" s="416" t="s">
        <v>340</v>
      </c>
      <c r="E35" s="416"/>
      <c r="F35" s="297" t="s">
        <v>102</v>
      </c>
      <c r="G35" s="291">
        <v>1508960.08</v>
      </c>
      <c r="H35" s="291">
        <v>595381.66</v>
      </c>
      <c r="I35" s="291"/>
      <c r="J35" s="318"/>
      <c r="K35" s="291">
        <f>18451.56+39379.94</f>
        <v>57831.5</v>
      </c>
      <c r="L35" s="293">
        <f t="shared" si="4"/>
        <v>2162173.2400000002</v>
      </c>
    </row>
    <row r="36" spans="1:12" s="359" customFormat="1" x14ac:dyDescent="0.25">
      <c r="A36" s="281"/>
      <c r="B36" s="295">
        <v>4</v>
      </c>
      <c r="C36" s="296">
        <f t="shared" si="3"/>
        <v>50</v>
      </c>
      <c r="D36" s="416" t="s">
        <v>341</v>
      </c>
      <c r="E36" s="416"/>
      <c r="F36" s="297" t="s">
        <v>102</v>
      </c>
      <c r="G36" s="291">
        <v>1322997.3400000001</v>
      </c>
      <c r="H36" s="291">
        <v>754304.48</v>
      </c>
      <c r="I36" s="291"/>
      <c r="J36" s="318"/>
      <c r="K36" s="291">
        <f>13766.64+40434.61</f>
        <v>54201.25</v>
      </c>
      <c r="L36" s="293">
        <f t="shared" si="4"/>
        <v>2131503.0700000003</v>
      </c>
    </row>
    <row r="37" spans="1:12" s="359" customFormat="1" x14ac:dyDescent="0.25">
      <c r="A37" s="281"/>
      <c r="B37" s="295">
        <v>5</v>
      </c>
      <c r="C37" s="296">
        <f t="shared" si="3"/>
        <v>50</v>
      </c>
      <c r="D37" s="416" t="s">
        <v>342</v>
      </c>
      <c r="E37" s="416"/>
      <c r="F37" s="297" t="s">
        <v>102</v>
      </c>
      <c r="G37" s="291">
        <v>359377.75</v>
      </c>
      <c r="H37" s="291"/>
      <c r="I37" s="291"/>
      <c r="J37" s="318"/>
      <c r="K37" s="291"/>
      <c r="L37" s="293">
        <f t="shared" si="4"/>
        <v>359377.75</v>
      </c>
    </row>
    <row r="38" spans="1:12" s="359" customFormat="1" x14ac:dyDescent="0.25">
      <c r="A38" s="281"/>
      <c r="B38" s="295">
        <v>6</v>
      </c>
      <c r="C38" s="296">
        <f t="shared" si="3"/>
        <v>50</v>
      </c>
      <c r="D38" s="416" t="s">
        <v>343</v>
      </c>
      <c r="E38" s="416"/>
      <c r="F38" s="297" t="s">
        <v>102</v>
      </c>
      <c r="G38" s="291">
        <v>404063.08</v>
      </c>
      <c r="H38" s="291">
        <v>435927.95</v>
      </c>
      <c r="I38" s="291"/>
      <c r="J38" s="318"/>
      <c r="K38" s="291">
        <v>12251.24</v>
      </c>
      <c r="L38" s="293">
        <f t="shared" si="4"/>
        <v>852242.27</v>
      </c>
    </row>
    <row r="39" spans="1:12" s="359" customFormat="1" x14ac:dyDescent="0.25">
      <c r="A39" s="281"/>
      <c r="B39" s="295">
        <v>7</v>
      </c>
      <c r="C39" s="296">
        <f t="shared" si="3"/>
        <v>50</v>
      </c>
      <c r="D39" s="416" t="s">
        <v>344</v>
      </c>
      <c r="E39" s="416"/>
      <c r="F39" s="297" t="s">
        <v>103</v>
      </c>
      <c r="G39" s="291">
        <v>588961.54</v>
      </c>
      <c r="H39" s="291">
        <v>709863.59</v>
      </c>
      <c r="I39" s="291"/>
      <c r="J39" s="318"/>
      <c r="K39" s="291">
        <f>22070.28+1073.73</f>
        <v>23144.01</v>
      </c>
      <c r="L39" s="293">
        <f t="shared" si="4"/>
        <v>1321969.1399999999</v>
      </c>
    </row>
    <row r="40" spans="1:12" s="359" customFormat="1" x14ac:dyDescent="0.25">
      <c r="A40" s="281"/>
      <c r="B40" s="295">
        <v>8</v>
      </c>
      <c r="C40" s="296">
        <f t="shared" si="3"/>
        <v>50</v>
      </c>
      <c r="D40" s="290" t="s">
        <v>345</v>
      </c>
      <c r="E40" s="290"/>
      <c r="F40" s="297" t="s">
        <v>103</v>
      </c>
      <c r="G40" s="291">
        <v>920879.06</v>
      </c>
      <c r="H40" s="291"/>
      <c r="I40" s="291"/>
      <c r="J40" s="318"/>
      <c r="K40" s="291"/>
      <c r="L40" s="293">
        <f t="shared" si="4"/>
        <v>920879.06</v>
      </c>
    </row>
    <row r="41" spans="1:12" s="359" customFormat="1" x14ac:dyDescent="0.25">
      <c r="A41" s="281"/>
      <c r="B41" s="295">
        <v>9</v>
      </c>
      <c r="C41" s="296">
        <f t="shared" si="3"/>
        <v>50</v>
      </c>
      <c r="D41" s="417" t="s">
        <v>346</v>
      </c>
      <c r="E41" s="417"/>
      <c r="F41" s="297" t="s">
        <v>103</v>
      </c>
      <c r="G41" s="291">
        <v>461728.34</v>
      </c>
      <c r="H41" s="291"/>
      <c r="I41" s="291"/>
      <c r="J41" s="318"/>
      <c r="K41" s="291">
        <v>171.21</v>
      </c>
      <c r="L41" s="293">
        <f t="shared" si="4"/>
        <v>461899.55000000005</v>
      </c>
    </row>
    <row r="42" spans="1:12" s="359" customFormat="1" x14ac:dyDescent="0.25">
      <c r="A42" s="281"/>
      <c r="B42" s="295">
        <v>10</v>
      </c>
      <c r="C42" s="296">
        <f t="shared" si="3"/>
        <v>50</v>
      </c>
      <c r="D42" s="417" t="s">
        <v>347</v>
      </c>
      <c r="E42" s="417"/>
      <c r="F42" s="297" t="s">
        <v>103</v>
      </c>
      <c r="G42" s="291">
        <v>496726.77</v>
      </c>
      <c r="H42" s="291"/>
      <c r="I42" s="291"/>
      <c r="J42" s="318"/>
      <c r="K42" s="291"/>
      <c r="L42" s="293">
        <f t="shared" si="4"/>
        <v>496726.77</v>
      </c>
    </row>
    <row r="43" spans="1:12" s="359" customFormat="1" x14ac:dyDescent="0.25">
      <c r="A43" s="281"/>
      <c r="B43" s="295">
        <v>11</v>
      </c>
      <c r="C43" s="296">
        <f t="shared" si="3"/>
        <v>50</v>
      </c>
      <c r="D43" s="417" t="s">
        <v>348</v>
      </c>
      <c r="E43" s="417"/>
      <c r="F43" s="297" t="s">
        <v>103</v>
      </c>
      <c r="G43" s="291">
        <v>2027215.18</v>
      </c>
      <c r="H43" s="291"/>
      <c r="I43" s="291">
        <v>45847</v>
      </c>
      <c r="J43" s="318"/>
      <c r="K43" s="291">
        <v>226929.79</v>
      </c>
      <c r="L43" s="293">
        <f t="shared" si="4"/>
        <v>2299991.9699999997</v>
      </c>
    </row>
    <row r="44" spans="1:12" s="359" customFormat="1" x14ac:dyDescent="0.25">
      <c r="A44" s="281"/>
      <c r="B44" s="295">
        <v>12</v>
      </c>
      <c r="C44" s="296">
        <f t="shared" si="3"/>
        <v>50</v>
      </c>
      <c r="D44" s="417" t="s">
        <v>349</v>
      </c>
      <c r="E44" s="417"/>
      <c r="F44" s="297" t="s">
        <v>103</v>
      </c>
      <c r="G44" s="291">
        <v>406781.34</v>
      </c>
      <c r="H44" s="291"/>
      <c r="I44" s="291">
        <v>65218</v>
      </c>
      <c r="J44" s="318"/>
      <c r="K44" s="291">
        <v>85426.53</v>
      </c>
      <c r="L44" s="293">
        <f t="shared" si="4"/>
        <v>557425.87</v>
      </c>
    </row>
    <row r="45" spans="1:12" s="359" customFormat="1" x14ac:dyDescent="0.25">
      <c r="A45" s="281"/>
      <c r="B45" s="295">
        <v>13</v>
      </c>
      <c r="C45" s="296">
        <f t="shared" si="3"/>
        <v>50</v>
      </c>
      <c r="D45" s="417" t="s">
        <v>350</v>
      </c>
      <c r="E45" s="417"/>
      <c r="F45" s="297" t="s">
        <v>103</v>
      </c>
      <c r="G45" s="291">
        <v>122810.17</v>
      </c>
      <c r="H45" s="291">
        <v>2101.38</v>
      </c>
      <c r="I45" s="291"/>
      <c r="J45" s="318"/>
      <c r="K45" s="291">
        <f>61.99+37</f>
        <v>98.990000000000009</v>
      </c>
      <c r="L45" s="293">
        <f t="shared" si="4"/>
        <v>125010.54000000001</v>
      </c>
    </row>
    <row r="46" spans="1:12" s="359" customFormat="1" x14ac:dyDescent="0.25">
      <c r="A46" s="281"/>
      <c r="B46" s="295">
        <v>14</v>
      </c>
      <c r="C46" s="296">
        <f t="shared" si="3"/>
        <v>50</v>
      </c>
      <c r="D46" s="417" t="s">
        <v>351</v>
      </c>
      <c r="E46" s="417"/>
      <c r="F46" s="297" t="s">
        <v>103</v>
      </c>
      <c r="G46" s="291">
        <v>425365.68</v>
      </c>
      <c r="H46" s="291">
        <v>1114650.3999999999</v>
      </c>
      <c r="I46" s="291"/>
      <c r="J46" s="318"/>
      <c r="K46" s="291">
        <v>46762.6</v>
      </c>
      <c r="L46" s="293">
        <f t="shared" si="4"/>
        <v>1586778.68</v>
      </c>
    </row>
    <row r="47" spans="1:12" s="359" customFormat="1" x14ac:dyDescent="0.25">
      <c r="A47" s="281"/>
      <c r="B47" s="295">
        <v>15</v>
      </c>
      <c r="C47" s="296">
        <f t="shared" si="3"/>
        <v>50</v>
      </c>
      <c r="D47" s="417" t="s">
        <v>352</v>
      </c>
      <c r="E47" s="417"/>
      <c r="F47" s="297" t="s">
        <v>103</v>
      </c>
      <c r="G47" s="291">
        <v>311478.19</v>
      </c>
      <c r="H47" s="291">
        <v>34896.639999999999</v>
      </c>
      <c r="I47" s="291"/>
      <c r="J47" s="318"/>
      <c r="K47" s="291">
        <f>399.64+3823.53</f>
        <v>4223.17</v>
      </c>
      <c r="L47" s="293">
        <f t="shared" si="4"/>
        <v>350598</v>
      </c>
    </row>
    <row r="48" spans="1:12" s="359" customFormat="1" x14ac:dyDescent="0.25">
      <c r="A48" s="281"/>
      <c r="B48" s="295">
        <v>16</v>
      </c>
      <c r="C48" s="296">
        <f t="shared" si="3"/>
        <v>50</v>
      </c>
      <c r="D48" s="417" t="s">
        <v>365</v>
      </c>
      <c r="E48" s="417"/>
      <c r="F48" s="297" t="s">
        <v>103</v>
      </c>
      <c r="G48" s="291">
        <v>10039.84</v>
      </c>
      <c r="H48" s="291"/>
      <c r="I48" s="291"/>
      <c r="J48" s="318"/>
      <c r="K48" s="291"/>
      <c r="L48" s="293">
        <f t="shared" si="4"/>
        <v>10039.84</v>
      </c>
    </row>
    <row r="49" spans="1:12" s="359" customFormat="1" x14ac:dyDescent="0.25">
      <c r="A49" s="281"/>
      <c r="B49" s="295">
        <v>17</v>
      </c>
      <c r="C49" s="296">
        <f t="shared" si="3"/>
        <v>50</v>
      </c>
      <c r="D49" s="417" t="s">
        <v>353</v>
      </c>
      <c r="E49" s="417"/>
      <c r="F49" s="297" t="s">
        <v>103</v>
      </c>
      <c r="G49" s="291">
        <v>1577441.15</v>
      </c>
      <c r="H49" s="291"/>
      <c r="I49" s="291"/>
      <c r="J49" s="318"/>
      <c r="K49" s="291"/>
      <c r="L49" s="293">
        <f t="shared" si="4"/>
        <v>1577441.15</v>
      </c>
    </row>
    <row r="50" spans="1:12" s="359" customFormat="1" x14ac:dyDescent="0.25">
      <c r="A50" s="281"/>
      <c r="B50" s="295">
        <v>18</v>
      </c>
      <c r="C50" s="296">
        <f t="shared" si="3"/>
        <v>50</v>
      </c>
      <c r="D50" s="417" t="s">
        <v>354</v>
      </c>
      <c r="E50" s="417"/>
      <c r="F50" s="297" t="s">
        <v>103</v>
      </c>
      <c r="G50" s="291">
        <f>374032.39-39.83</f>
        <v>373992.56</v>
      </c>
      <c r="H50" s="291"/>
      <c r="I50" s="291"/>
      <c r="J50" s="318"/>
      <c r="K50" s="291">
        <v>39.83</v>
      </c>
      <c r="L50" s="293">
        <f t="shared" si="4"/>
        <v>374032.39</v>
      </c>
    </row>
    <row r="51" spans="1:12" s="359" customFormat="1" x14ac:dyDescent="0.25">
      <c r="A51" s="281"/>
      <c r="B51" s="295">
        <v>19</v>
      </c>
      <c r="C51" s="296">
        <f t="shared" si="3"/>
        <v>50</v>
      </c>
      <c r="D51" s="417" t="s">
        <v>355</v>
      </c>
      <c r="E51" s="395"/>
      <c r="F51" s="297" t="s">
        <v>103</v>
      </c>
      <c r="G51" s="291">
        <v>283021.52</v>
      </c>
      <c r="H51" s="291"/>
      <c r="I51" s="291"/>
      <c r="J51" s="318"/>
      <c r="K51" s="291"/>
      <c r="L51" s="293">
        <f t="shared" si="4"/>
        <v>283021.52</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view="pageBreakPreview" topLeftCell="A34" zoomScaleNormal="85" zoomScaleSheetLayoutView="100" zoomScalePageLayoutView="80" workbookViewId="0">
      <selection activeCell="D43" sqref="D43"/>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0" t="s">
        <v>1</v>
      </c>
      <c r="C7" s="441"/>
      <c r="D7" s="9" t="str">
        <f>IF(ISBLANK('1. Information'!D8),"",'1. Information'!D8)</f>
        <v>Stanislaus</v>
      </c>
      <c r="F7" s="94" t="s">
        <v>2</v>
      </c>
      <c r="G7" s="109">
        <f>IF(ISBLANK('1. Information'!D7),"",'1. Information'!D7)</f>
        <v>43452</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0" t="s">
        <v>30</v>
      </c>
      <c r="H12" s="438"/>
      <c r="I12" s="438"/>
      <c r="J12" s="441"/>
      <c r="K12" s="303"/>
      <c r="L12"/>
      <c r="M12"/>
      <c r="N12"/>
      <c r="O12"/>
      <c r="P12"/>
      <c r="Q12"/>
      <c r="AL12" s="108"/>
      <c r="AM12" s="108"/>
      <c r="AN12" s="108"/>
    </row>
    <row r="13" spans="2:40" ht="47.25" customHeight="1" x14ac:dyDescent="0.25">
      <c r="C13" s="452"/>
      <c r="D13" s="452"/>
      <c r="E13" s="452"/>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6" t="s">
        <v>3</v>
      </c>
      <c r="D14" s="446"/>
      <c r="E14" s="442"/>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6" t="s">
        <v>133</v>
      </c>
      <c r="D15" s="446"/>
      <c r="E15" s="442"/>
      <c r="F15" s="291">
        <v>174120.93</v>
      </c>
      <c r="G15" s="353"/>
      <c r="H15" s="353"/>
      <c r="I15" s="353"/>
      <c r="J15" s="353"/>
      <c r="K15" s="292">
        <f t="shared" ref="K15:K20" si="0">SUM(F15:J15)</f>
        <v>174120.93</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3" t="s">
        <v>149</v>
      </c>
      <c r="D16" s="453"/>
      <c r="E16" s="454"/>
      <c r="F16" s="388">
        <f>633725.6+40661.6+6506</f>
        <v>680893.2</v>
      </c>
      <c r="G16" s="387"/>
      <c r="H16" s="387"/>
      <c r="I16" s="387"/>
      <c r="J16" s="387">
        <v>189.26</v>
      </c>
      <c r="K16" s="292">
        <f t="shared" si="0"/>
        <v>681082.46</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6" t="s">
        <v>228</v>
      </c>
      <c r="D17" s="446"/>
      <c r="E17" s="442"/>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6" t="s">
        <v>215</v>
      </c>
      <c r="D18" s="446"/>
      <c r="E18" s="442"/>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6" t="s">
        <v>217</v>
      </c>
      <c r="D19" s="446"/>
      <c r="E19" s="442"/>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5" t="s">
        <v>150</v>
      </c>
      <c r="D20" s="445"/>
      <c r="E20" s="445"/>
      <c r="F20" s="315">
        <f>SUMIF($G$36:$G$135,"Combined Summary",L$36:L$135) + SUMIF($F$36:$F$135,"Standalone",L$36:L$135)</f>
        <v>2802901.9400000004</v>
      </c>
      <c r="G20" s="119">
        <f>SUMIF($G$36:$G$135,"Combined Summary",M$36:M$135) + SUMIF($F$36:$F$135,"Standalone",M$36:M$135)</f>
        <v>104452.51</v>
      </c>
      <c r="H20" s="119">
        <f>SUMIF($G$36:$G$135,"Combined Summary",N$36:N$135) + SUMIF($F$36:$F$135,"Standalone",N$36:N$135)</f>
        <v>0</v>
      </c>
      <c r="I20" s="119">
        <f>SUMIF($G$36:$G$135,"Combined Summary",O$36:O$135) + SUMIF($F$36:$F$135,"Standalone",O$36:O$135)</f>
        <v>0</v>
      </c>
      <c r="J20" s="119">
        <f>SUMIF($G$36:$G$135,"Combined Summary",P$36:P$135) + SUMIF($F$36:$F$135,"Standalone",P$36:P$135)</f>
        <v>3108.5500000000006</v>
      </c>
      <c r="K20" s="293">
        <f t="shared" si="0"/>
        <v>2910463</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8" t="s">
        <v>229</v>
      </c>
      <c r="D21" s="458"/>
      <c r="E21" s="458"/>
      <c r="F21" s="8">
        <f>SUM(F14:F16,F19:F20)</f>
        <v>3657916.0700000003</v>
      </c>
      <c r="G21" s="8">
        <f t="shared" ref="G21:K21" si="1">SUM(G14:G16,G19:G20)</f>
        <v>104452.51</v>
      </c>
      <c r="H21" s="8">
        <f t="shared" si="1"/>
        <v>0</v>
      </c>
      <c r="I21" s="8">
        <f t="shared" si="1"/>
        <v>0</v>
      </c>
      <c r="J21" s="8">
        <f t="shared" si="1"/>
        <v>3297.8100000000004</v>
      </c>
      <c r="K21" s="8">
        <f t="shared" si="1"/>
        <v>3765666.3899999997</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7" t="s">
        <v>234</v>
      </c>
      <c r="G26" s="455" t="s">
        <v>233</v>
      </c>
      <c r="H26" s="110"/>
      <c r="I26" s="110"/>
      <c r="J26" s="110"/>
      <c r="K26" s="110"/>
      <c r="L26" s="110"/>
      <c r="M26" s="110"/>
      <c r="N26" s="110"/>
      <c r="O26" s="110"/>
      <c r="P26" s="110"/>
      <c r="Q26" s="110"/>
    </row>
    <row r="27" spans="2:40" ht="15" customHeight="1" x14ac:dyDescent="0.25">
      <c r="B27" s="99"/>
      <c r="C27" s="99"/>
      <c r="D27" s="99"/>
      <c r="E27" s="99"/>
      <c r="F27" s="457"/>
      <c r="G27" s="455"/>
      <c r="H27" s="110"/>
      <c r="I27" s="110"/>
      <c r="J27" s="110"/>
      <c r="K27" s="110"/>
      <c r="L27" s="110"/>
      <c r="M27" s="110"/>
      <c r="N27" s="110"/>
      <c r="O27" s="110"/>
      <c r="P27" s="110"/>
      <c r="Q27" s="110"/>
    </row>
    <row r="28" spans="2:40" x14ac:dyDescent="0.25">
      <c r="B28" s="99"/>
      <c r="C28" s="99"/>
      <c r="D28" s="99"/>
      <c r="E28" s="99"/>
      <c r="F28" s="457"/>
      <c r="G28" s="456"/>
      <c r="H28" s="110"/>
      <c r="I28" s="110"/>
      <c r="J28" s="110"/>
      <c r="K28" s="110"/>
      <c r="L28" s="110"/>
      <c r="M28" s="110"/>
      <c r="N28" s="110"/>
      <c r="O28" s="110"/>
      <c r="P28" s="110"/>
      <c r="Q28" s="110"/>
    </row>
    <row r="29" spans="2:40" ht="51.75" customHeight="1" x14ac:dyDescent="0.25">
      <c r="B29" s="130">
        <v>1</v>
      </c>
      <c r="C29" s="449" t="s">
        <v>245</v>
      </c>
      <c r="D29" s="450"/>
      <c r="E29" s="451"/>
      <c r="F29" s="10">
        <f>IF(F21=0,"",((SUMPRODUCT($K$36:$K$135,$L$36:$L$135)+(F19*G29))/$F$21))</f>
        <v>0.39567768262107766</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8" t="s">
        <v>165</v>
      </c>
      <c r="E34" s="438"/>
      <c r="F34" s="438"/>
      <c r="G34" s="438"/>
      <c r="H34" s="438"/>
      <c r="I34" s="438"/>
      <c r="J34" s="438"/>
      <c r="K34" s="438"/>
      <c r="L34" s="340" t="s">
        <v>28</v>
      </c>
      <c r="M34" s="440" t="s">
        <v>30</v>
      </c>
      <c r="N34" s="438"/>
      <c r="O34" s="438"/>
      <c r="P34" s="441"/>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50</v>
      </c>
      <c r="D36" s="337" t="s">
        <v>322</v>
      </c>
      <c r="E36" s="416"/>
      <c r="F36" s="416" t="s">
        <v>143</v>
      </c>
      <c r="G36" s="417" t="s">
        <v>136</v>
      </c>
      <c r="H36" s="416"/>
      <c r="I36" s="418">
        <v>1</v>
      </c>
      <c r="J36" s="418">
        <v>0.32</v>
      </c>
      <c r="K36" s="350">
        <f>IF(OR(G36="Combined Summary",F36="Standalone"),(SUMPRODUCT(--(D$36:D$135=D36),I$36:I$135,J$36:J$135)),"")</f>
        <v>0.32</v>
      </c>
      <c r="L36" s="291">
        <v>603093.66</v>
      </c>
      <c r="M36" s="352"/>
      <c r="N36" s="116"/>
      <c r="O36" s="116"/>
      <c r="P36" s="116"/>
      <c r="Q36" s="351">
        <f>SUM(L36:P36)</f>
        <v>603093.66</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50</v>
      </c>
      <c r="D37" s="337" t="s">
        <v>323</v>
      </c>
      <c r="E37" s="416"/>
      <c r="F37" s="416" t="s">
        <v>143</v>
      </c>
      <c r="G37" s="417" t="s">
        <v>136</v>
      </c>
      <c r="H37" s="416"/>
      <c r="I37" s="418">
        <v>1</v>
      </c>
      <c r="J37" s="418">
        <v>0.5</v>
      </c>
      <c r="K37" s="350">
        <f t="shared" ref="K37:K100" si="3">IF(OR(G37="Combined Summary",F37="Standalone"),(SUMPRODUCT(--(D$36:D$135=D37),I$36:I$135,J$36:J$135)),"")</f>
        <v>0.5</v>
      </c>
      <c r="L37" s="291">
        <v>33983.879999999997</v>
      </c>
      <c r="M37" s="352"/>
      <c r="N37" s="116"/>
      <c r="O37" s="116"/>
      <c r="P37" s="116"/>
      <c r="Q37" s="351">
        <f t="shared" ref="Q37:Q100" si="4">SUM(L37:P37)</f>
        <v>33983.879999999997</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50</v>
      </c>
      <c r="D38" s="337" t="s">
        <v>324</v>
      </c>
      <c r="E38" s="416"/>
      <c r="F38" s="416" t="s">
        <v>143</v>
      </c>
      <c r="G38" s="417" t="s">
        <v>136</v>
      </c>
      <c r="H38" s="416"/>
      <c r="I38" s="418">
        <v>1</v>
      </c>
      <c r="J38" s="418">
        <v>0.42</v>
      </c>
      <c r="K38" s="350">
        <f t="shared" si="3"/>
        <v>0.42</v>
      </c>
      <c r="L38" s="291">
        <v>223720.95</v>
      </c>
      <c r="M38" s="352"/>
      <c r="N38" s="116"/>
      <c r="O38" s="116"/>
      <c r="P38" s="116">
        <v>12.46</v>
      </c>
      <c r="Q38" s="351">
        <f t="shared" si="4"/>
        <v>223733.41</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50</v>
      </c>
      <c r="D39" s="337" t="s">
        <v>326</v>
      </c>
      <c r="E39" s="417"/>
      <c r="F39" s="416" t="s">
        <v>143</v>
      </c>
      <c r="G39" s="417" t="s">
        <v>137</v>
      </c>
      <c r="H39" s="416"/>
      <c r="I39" s="418">
        <v>1</v>
      </c>
      <c r="J39" s="418">
        <v>0.34</v>
      </c>
      <c r="K39" s="350">
        <f t="shared" si="3"/>
        <v>0.34</v>
      </c>
      <c r="L39" s="291">
        <v>561520.67000000004</v>
      </c>
      <c r="M39" s="352"/>
      <c r="N39" s="116"/>
      <c r="O39" s="116"/>
      <c r="P39" s="116"/>
      <c r="Q39" s="351">
        <f t="shared" si="4"/>
        <v>561520.67000000004</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50</v>
      </c>
      <c r="D40" s="337" t="s">
        <v>327</v>
      </c>
      <c r="E40" s="417"/>
      <c r="F40" s="416" t="s">
        <v>143</v>
      </c>
      <c r="G40" s="417" t="s">
        <v>137</v>
      </c>
      <c r="H40" s="417"/>
      <c r="I40" s="418">
        <v>1</v>
      </c>
      <c r="J40" s="418">
        <v>0.36</v>
      </c>
      <c r="K40" s="350">
        <f t="shared" si="3"/>
        <v>0.36</v>
      </c>
      <c r="L40" s="291">
        <v>120000</v>
      </c>
      <c r="M40" s="352"/>
      <c r="N40" s="116"/>
      <c r="O40" s="116"/>
      <c r="P40" s="116"/>
      <c r="Q40" s="351">
        <f t="shared" si="4"/>
        <v>120000</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50</v>
      </c>
      <c r="D41" s="337" t="s">
        <v>328</v>
      </c>
      <c r="E41" s="417"/>
      <c r="F41" s="416" t="s">
        <v>143</v>
      </c>
      <c r="G41" s="417" t="s">
        <v>137</v>
      </c>
      <c r="H41" s="417"/>
      <c r="I41" s="418">
        <v>1</v>
      </c>
      <c r="J41" s="418">
        <v>1</v>
      </c>
      <c r="K41" s="350">
        <f t="shared" si="3"/>
        <v>1</v>
      </c>
      <c r="L41" s="291">
        <v>355569.79</v>
      </c>
      <c r="M41" s="352">
        <v>90802.37</v>
      </c>
      <c r="N41" s="116"/>
      <c r="O41" s="116"/>
      <c r="P41" s="116">
        <f>199.57+2891.26</f>
        <v>3090.8300000000004</v>
      </c>
      <c r="Q41" s="351">
        <f t="shared" si="4"/>
        <v>449462.99</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50</v>
      </c>
      <c r="D42" s="337" t="s">
        <v>329</v>
      </c>
      <c r="E42" s="417"/>
      <c r="F42" s="416" t="s">
        <v>143</v>
      </c>
      <c r="G42" s="417" t="s">
        <v>137</v>
      </c>
      <c r="H42" s="417"/>
      <c r="I42" s="418">
        <v>1</v>
      </c>
      <c r="J42" s="418">
        <v>1</v>
      </c>
      <c r="K42" s="350">
        <f t="shared" si="3"/>
        <v>1</v>
      </c>
      <c r="L42" s="291">
        <v>423964.66</v>
      </c>
      <c r="M42" s="352">
        <v>13650.14</v>
      </c>
      <c r="N42" s="116"/>
      <c r="O42" s="116"/>
      <c r="P42" s="116">
        <v>5.26</v>
      </c>
      <c r="Q42" s="351">
        <f t="shared" si="4"/>
        <v>437620.06</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50</v>
      </c>
      <c r="D43" s="337" t="s">
        <v>330</v>
      </c>
      <c r="E43" s="417"/>
      <c r="F43" s="416" t="s">
        <v>143</v>
      </c>
      <c r="G43" s="417" t="s">
        <v>145</v>
      </c>
      <c r="H43" s="417"/>
      <c r="I43" s="418">
        <v>1</v>
      </c>
      <c r="J43" s="418">
        <v>0.8</v>
      </c>
      <c r="K43" s="350">
        <f t="shared" si="3"/>
        <v>0.8</v>
      </c>
      <c r="L43" s="291">
        <v>40500.720000000001</v>
      </c>
      <c r="M43" s="352"/>
      <c r="N43" s="116"/>
      <c r="O43" s="116"/>
      <c r="P43" s="116"/>
      <c r="Q43" s="351">
        <f t="shared" si="4"/>
        <v>40500.720000000001</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50</v>
      </c>
      <c r="D44" s="337" t="s">
        <v>331</v>
      </c>
      <c r="E44" s="417"/>
      <c r="F44" s="416" t="s">
        <v>143</v>
      </c>
      <c r="G44" s="417" t="s">
        <v>146</v>
      </c>
      <c r="H44" s="417"/>
      <c r="I44" s="418">
        <v>1</v>
      </c>
      <c r="J44" s="418">
        <v>0.75</v>
      </c>
      <c r="K44" s="350">
        <f t="shared" si="3"/>
        <v>0.75</v>
      </c>
      <c r="L44" s="291">
        <v>33719.379999999997</v>
      </c>
      <c r="M44" s="352"/>
      <c r="N44" s="116"/>
      <c r="O44" s="116"/>
      <c r="P44" s="116"/>
      <c r="Q44" s="351">
        <f t="shared" si="4"/>
        <v>33719.379999999997</v>
      </c>
      <c r="R44" s="409">
        <f t="shared" si="5"/>
        <v>1</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 t="shared" si="2"/>
        <v>50</v>
      </c>
      <c r="D45" s="337" t="s">
        <v>147</v>
      </c>
      <c r="E45" s="416"/>
      <c r="F45" s="416" t="s">
        <v>143</v>
      </c>
      <c r="G45" s="417" t="s">
        <v>147</v>
      </c>
      <c r="H45" s="416"/>
      <c r="I45" s="418">
        <v>1</v>
      </c>
      <c r="J45" s="418">
        <v>0.76</v>
      </c>
      <c r="K45" s="350">
        <f t="shared" si="3"/>
        <v>0.76</v>
      </c>
      <c r="L45" s="291">
        <v>94828.23</v>
      </c>
      <c r="M45" s="352"/>
      <c r="N45" s="116"/>
      <c r="O45" s="116"/>
      <c r="P45" s="116"/>
      <c r="Q45" s="351">
        <f t="shared" si="4"/>
        <v>94828.23</v>
      </c>
      <c r="R45" s="409">
        <f t="shared" si="5"/>
        <v>1</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 t="shared" si="2"/>
        <v>50</v>
      </c>
      <c r="D46" s="337" t="s">
        <v>325</v>
      </c>
      <c r="E46" s="416"/>
      <c r="F46" s="416" t="s">
        <v>143</v>
      </c>
      <c r="G46" s="417" t="s">
        <v>132</v>
      </c>
      <c r="H46" s="416"/>
      <c r="I46" s="418">
        <v>1</v>
      </c>
      <c r="J46" s="418">
        <v>0</v>
      </c>
      <c r="K46" s="350">
        <f t="shared" si="3"/>
        <v>0</v>
      </c>
      <c r="L46" s="291">
        <v>312000</v>
      </c>
      <c r="M46" s="352"/>
      <c r="N46" s="116"/>
      <c r="O46" s="116"/>
      <c r="P46" s="116"/>
      <c r="Q46" s="351">
        <f t="shared" si="4"/>
        <v>312000</v>
      </c>
      <c r="R46" s="409">
        <f t="shared" si="5"/>
        <v>1</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37"/>
      <c r="E47" s="416"/>
      <c r="F47" s="416"/>
      <c r="G47" s="417"/>
      <c r="H47" s="416"/>
      <c r="I47" s="418"/>
      <c r="J47" s="418"/>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view="pageBreakPreview" topLeftCell="A20" zoomScaleNormal="70" zoomScaleSheetLayoutView="100" workbookViewId="0">
      <selection activeCell="D30" sqref="D30"/>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60"/>
      <c r="C1" s="460"/>
      <c r="D1" s="460"/>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8" t="s">
        <v>1</v>
      </c>
      <c r="C7" s="448"/>
      <c r="D7" s="9" t="str">
        <f>IF(ISBLANK('1. Information'!D8),"",'1. Information'!D8)</f>
        <v>Stanislaus</v>
      </c>
      <c r="F7" s="94" t="s">
        <v>2</v>
      </c>
      <c r="G7" s="109">
        <f>IF(ISBLANK('1. Information'!D7),"",'1. Information'!D7)</f>
        <v>43452</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8" t="s">
        <v>30</v>
      </c>
      <c r="H12" s="438"/>
      <c r="I12" s="438"/>
      <c r="J12" s="441"/>
      <c r="K12" s="308"/>
      <c r="L12"/>
      <c r="M12"/>
      <c r="N12"/>
      <c r="O12" s="108"/>
      <c r="P12" s="108"/>
    </row>
    <row r="13" spans="2:16" ht="65.25" customHeight="1" x14ac:dyDescent="0.25">
      <c r="B13" s="108"/>
      <c r="C13" s="462"/>
      <c r="D13" s="462"/>
      <c r="E13" s="462"/>
      <c r="F13" s="30" t="s">
        <v>300</v>
      </c>
      <c r="G13" s="44" t="s">
        <v>5</v>
      </c>
      <c r="H13" s="27" t="s">
        <v>6</v>
      </c>
      <c r="I13" s="27" t="s">
        <v>31</v>
      </c>
      <c r="J13" s="27" t="s">
        <v>15</v>
      </c>
      <c r="K13" s="306" t="s">
        <v>278</v>
      </c>
      <c r="L13"/>
      <c r="M13"/>
      <c r="N13"/>
      <c r="O13" s="108"/>
      <c r="P13" s="108"/>
    </row>
    <row r="14" spans="2:16" ht="15.75" x14ac:dyDescent="0.25">
      <c r="B14" s="101">
        <v>1</v>
      </c>
      <c r="C14" s="446" t="s">
        <v>160</v>
      </c>
      <c r="D14" s="446"/>
      <c r="E14" s="446"/>
      <c r="F14" s="290">
        <v>105629.62</v>
      </c>
      <c r="G14" s="45"/>
      <c r="H14" s="29"/>
      <c r="I14" s="29"/>
      <c r="J14" s="309"/>
      <c r="K14" s="293">
        <f>SUM(F14:J14)</f>
        <v>105629.62</v>
      </c>
      <c r="L14"/>
      <c r="M14"/>
      <c r="N14"/>
      <c r="O14" s="108"/>
      <c r="P14" s="108"/>
    </row>
    <row r="15" spans="2:16" ht="15.75" x14ac:dyDescent="0.25">
      <c r="B15" s="101">
        <v>2</v>
      </c>
      <c r="C15" s="446" t="s">
        <v>161</v>
      </c>
      <c r="D15" s="446"/>
      <c r="E15" s="446"/>
      <c r="F15" s="29">
        <v>147523.07</v>
      </c>
      <c r="G15" s="411"/>
      <c r="H15" s="412"/>
      <c r="I15" s="412"/>
      <c r="J15" s="413"/>
      <c r="K15" s="293">
        <f>SUM(F15:J15)</f>
        <v>147523.07</v>
      </c>
      <c r="L15"/>
      <c r="M15"/>
      <c r="N15"/>
      <c r="O15" s="108"/>
      <c r="P15" s="108"/>
    </row>
    <row r="16" spans="2:16" ht="15.75" x14ac:dyDescent="0.25">
      <c r="B16" s="405">
        <v>3</v>
      </c>
      <c r="C16" s="442" t="s">
        <v>314</v>
      </c>
      <c r="D16" s="443"/>
      <c r="E16" s="444"/>
      <c r="F16" s="367"/>
      <c r="G16" s="19"/>
      <c r="H16" s="19"/>
      <c r="I16" s="19"/>
      <c r="J16" s="19"/>
      <c r="K16" s="293">
        <f>SUM(F16:J16)</f>
        <v>0</v>
      </c>
      <c r="L16" s="404"/>
      <c r="M16" s="404"/>
      <c r="N16" s="404"/>
      <c r="O16" s="108"/>
      <c r="P16" s="108"/>
    </row>
    <row r="17" spans="2:17" ht="15.75" x14ac:dyDescent="0.25">
      <c r="B17" s="405">
        <v>4</v>
      </c>
      <c r="C17" s="442" t="s">
        <v>315</v>
      </c>
      <c r="D17" s="443"/>
      <c r="E17" s="444"/>
      <c r="F17" s="410"/>
      <c r="G17" s="19"/>
      <c r="H17" s="19"/>
      <c r="I17" s="19"/>
      <c r="J17" s="19"/>
      <c r="K17" s="293">
        <f>SUM(F17:J17)</f>
        <v>0</v>
      </c>
      <c r="L17" s="404"/>
      <c r="M17" s="404"/>
      <c r="N17" s="404"/>
      <c r="O17" s="108"/>
      <c r="P17" s="108"/>
    </row>
    <row r="18" spans="2:17" ht="15.75" x14ac:dyDescent="0.25">
      <c r="B18" s="101">
        <v>5</v>
      </c>
      <c r="C18" s="446" t="s">
        <v>162</v>
      </c>
      <c r="D18" s="446"/>
      <c r="E18" s="446"/>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6" t="s">
        <v>163</v>
      </c>
      <c r="D19" s="446"/>
      <c r="E19" s="446"/>
      <c r="F19" s="19">
        <f>SUMIF($J$29:$J$132,"Project Evaluation",K$29:K$132)</f>
        <v>8550.76</v>
      </c>
      <c r="G19" s="47">
        <f>SUMIF($J$29:$J$132,"Project Evaluation",L$29:L$132)</f>
        <v>0</v>
      </c>
      <c r="H19" s="19">
        <f>SUMIF($J$29:$J$132,"Project Evaluation",M$29:M$132)</f>
        <v>0</v>
      </c>
      <c r="I19" s="19">
        <f>SUMIF($J$29:$J$132,"Project Evaluation",N$29:N$132)</f>
        <v>0</v>
      </c>
      <c r="J19" s="19">
        <f>SUMIF($J$29:$J$132,"Project Evaluation",O$29:O$132)</f>
        <v>0</v>
      </c>
      <c r="K19" s="293">
        <f t="shared" si="0"/>
        <v>8550.76</v>
      </c>
      <c r="L19"/>
      <c r="M19"/>
      <c r="N19"/>
      <c r="O19" s="108"/>
      <c r="P19" s="108"/>
    </row>
    <row r="20" spans="2:17" ht="15.75" x14ac:dyDescent="0.25">
      <c r="B20" s="101">
        <v>7</v>
      </c>
      <c r="C20" s="446" t="s">
        <v>236</v>
      </c>
      <c r="D20" s="446"/>
      <c r="E20" s="446"/>
      <c r="F20" s="19">
        <f>SUMIF($J$29:$J$132,"Project Direct",K$29:K$132)</f>
        <v>725348.55999999994</v>
      </c>
      <c r="G20" s="47">
        <f>SUMIF($J$29:$J$132,"Project Direct",L$29:L$132)</f>
        <v>460913.33</v>
      </c>
      <c r="H20" s="19">
        <f>SUMIF($J$29:$J$132,"Project Direct",M$29:M$132)</f>
        <v>0</v>
      </c>
      <c r="I20" s="19">
        <f>SUMIF($J$29:$J$132,"Project Direct",N$29:N$132)</f>
        <v>0</v>
      </c>
      <c r="J20" s="19">
        <f>SUMIF($J$29:$J$132,"Project Direct",O$29:O$132)</f>
        <v>15007.49</v>
      </c>
      <c r="K20" s="293">
        <f t="shared" si="0"/>
        <v>1201269.3799999999</v>
      </c>
      <c r="L20"/>
      <c r="M20"/>
      <c r="N20"/>
      <c r="O20" s="108"/>
      <c r="P20" s="108"/>
    </row>
    <row r="21" spans="2:17" ht="15.75" x14ac:dyDescent="0.25">
      <c r="B21" s="101">
        <v>8</v>
      </c>
      <c r="C21" s="461" t="s">
        <v>164</v>
      </c>
      <c r="D21" s="461"/>
      <c r="E21" s="461"/>
      <c r="F21" s="18">
        <f>SUM(F18:F20)</f>
        <v>733899.32</v>
      </c>
      <c r="G21" s="48">
        <f>SUM(G18:G20)</f>
        <v>460913.33</v>
      </c>
      <c r="H21" s="18">
        <f>SUM(H18:H20)</f>
        <v>0</v>
      </c>
      <c r="I21" s="18">
        <f>SUM(I18:I20)</f>
        <v>0</v>
      </c>
      <c r="J21" s="18">
        <f t="shared" ref="J21" si="1">SUM(J18:J20)</f>
        <v>15007.49</v>
      </c>
      <c r="K21" s="18">
        <f t="shared" ref="K21" si="2">SUM(K18:K20)</f>
        <v>1209820.1399999999</v>
      </c>
      <c r="L21"/>
      <c r="M21"/>
      <c r="N21"/>
      <c r="O21" s="108"/>
      <c r="P21" s="108"/>
    </row>
    <row r="22" spans="2:17" ht="30.95" customHeight="1" x14ac:dyDescent="0.25">
      <c r="B22" s="101">
        <v>9</v>
      </c>
      <c r="C22" s="458" t="s">
        <v>316</v>
      </c>
      <c r="D22" s="458"/>
      <c r="E22" s="458"/>
      <c r="F22" s="20">
        <f t="shared" ref="F22:K22" si="3">SUM(F14:F15,F17,F18:F20)</f>
        <v>987052.01</v>
      </c>
      <c r="G22" s="20">
        <f t="shared" si="3"/>
        <v>460913.33</v>
      </c>
      <c r="H22" s="20">
        <f t="shared" si="3"/>
        <v>0</v>
      </c>
      <c r="I22" s="20">
        <f t="shared" si="3"/>
        <v>0</v>
      </c>
      <c r="J22" s="20">
        <f t="shared" si="3"/>
        <v>15007.49</v>
      </c>
      <c r="K22" s="20">
        <f t="shared" si="3"/>
        <v>1462972.8299999998</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9" t="s">
        <v>167</v>
      </c>
      <c r="E27" s="459"/>
      <c r="F27" s="459"/>
      <c r="G27" s="459"/>
      <c r="H27" s="459"/>
      <c r="I27" s="459"/>
      <c r="J27" s="459"/>
      <c r="K27" s="340" t="s">
        <v>28</v>
      </c>
      <c r="L27" s="459" t="s">
        <v>30</v>
      </c>
      <c r="M27" s="459"/>
      <c r="N27" s="459"/>
      <c r="O27" s="459"/>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50</v>
      </c>
      <c r="D29" s="422" t="s">
        <v>356</v>
      </c>
      <c r="E29" s="138"/>
      <c r="F29" s="423">
        <v>42180</v>
      </c>
      <c r="G29" s="423">
        <v>42186</v>
      </c>
      <c r="H29" s="290">
        <v>212565</v>
      </c>
      <c r="I29" s="116"/>
      <c r="J29" s="118" t="s">
        <v>158</v>
      </c>
      <c r="K29" s="120"/>
      <c r="L29" s="120"/>
      <c r="M29" s="116"/>
      <c r="N29" s="116"/>
      <c r="O29" s="129"/>
      <c r="P29" s="293">
        <f t="shared" ref="P29:P64" si="4">SUM(K29:O29)</f>
        <v>0</v>
      </c>
    </row>
    <row r="30" spans="2:17" x14ac:dyDescent="0.2">
      <c r="B30" s="123">
        <v>1</v>
      </c>
      <c r="C30" s="139">
        <f t="shared" ref="C30:I31" si="5">IF(ISBLANK(C29),"",C29)</f>
        <v>50</v>
      </c>
      <c r="D30" s="397" t="str">
        <f t="shared" si="5"/>
        <v>INN-14 - Father Involvement</v>
      </c>
      <c r="E30" s="140" t="str">
        <f t="shared" si="5"/>
        <v/>
      </c>
      <c r="F30" s="140">
        <f t="shared" si="5"/>
        <v>42180</v>
      </c>
      <c r="G30" s="140">
        <f t="shared" si="5"/>
        <v>42186</v>
      </c>
      <c r="H30" s="122">
        <f t="shared" si="5"/>
        <v>212565</v>
      </c>
      <c r="I30" s="122" t="str">
        <f t="shared" si="5"/>
        <v/>
      </c>
      <c r="J30" s="119" t="s">
        <v>159</v>
      </c>
      <c r="K30" s="120">
        <v>8550.76</v>
      </c>
      <c r="L30" s="120"/>
      <c r="M30" s="116"/>
      <c r="N30" s="116"/>
      <c r="O30" s="129"/>
      <c r="P30" s="293">
        <f t="shared" si="4"/>
        <v>8550.76</v>
      </c>
    </row>
    <row r="31" spans="2:17" x14ac:dyDescent="0.2">
      <c r="B31" s="123">
        <v>1</v>
      </c>
      <c r="C31" s="139">
        <f t="shared" ref="C31:H31" si="6">IF(ISBLANK(C29),"",C29)</f>
        <v>50</v>
      </c>
      <c r="D31" s="398" t="str">
        <f t="shared" si="6"/>
        <v>INN-14 - Father Involvement</v>
      </c>
      <c r="E31" s="141" t="str">
        <f t="shared" si="6"/>
        <v/>
      </c>
      <c r="F31" s="141">
        <f t="shared" si="6"/>
        <v>42180</v>
      </c>
      <c r="G31" s="141">
        <f t="shared" si="6"/>
        <v>42186</v>
      </c>
      <c r="H31" s="119">
        <f t="shared" si="6"/>
        <v>212565</v>
      </c>
      <c r="I31" s="119" t="str">
        <f t="shared" si="5"/>
        <v/>
      </c>
      <c r="J31" s="119" t="s">
        <v>237</v>
      </c>
      <c r="K31" s="120"/>
      <c r="L31" s="120"/>
      <c r="M31" s="116"/>
      <c r="N31" s="116"/>
      <c r="O31" s="129"/>
      <c r="P31" s="293">
        <f t="shared" si="4"/>
        <v>0</v>
      </c>
    </row>
    <row r="32" spans="2:17" ht="15.75" x14ac:dyDescent="0.25">
      <c r="B32" s="96">
        <v>1</v>
      </c>
      <c r="C32" s="22">
        <f t="shared" ref="C32:I32" si="7">IF(ISBLANK(C29),"",C29)</f>
        <v>50</v>
      </c>
      <c r="D32" s="399" t="str">
        <f t="shared" si="7"/>
        <v>INN-14 - Father Involvement</v>
      </c>
      <c r="E32" s="33" t="str">
        <f t="shared" si="7"/>
        <v/>
      </c>
      <c r="F32" s="33">
        <f t="shared" si="7"/>
        <v>42180</v>
      </c>
      <c r="G32" s="33">
        <f t="shared" si="7"/>
        <v>42186</v>
      </c>
      <c r="H32" s="34">
        <f t="shared" si="7"/>
        <v>212565</v>
      </c>
      <c r="I32" s="34" t="str">
        <f t="shared" si="7"/>
        <v/>
      </c>
      <c r="J32" s="8" t="s">
        <v>263</v>
      </c>
      <c r="K32" s="50">
        <f>SUM(K29:K31)</f>
        <v>8550.76</v>
      </c>
      <c r="L32" s="50">
        <f>SUM(L29:L31)</f>
        <v>0</v>
      </c>
      <c r="M32" s="35">
        <f t="shared" ref="M32:O32" si="8">SUM(M29:M31)</f>
        <v>0</v>
      </c>
      <c r="N32" s="35">
        <f t="shared" si="8"/>
        <v>0</v>
      </c>
      <c r="O32" s="311">
        <f t="shared" si="8"/>
        <v>0</v>
      </c>
      <c r="P32" s="8">
        <f t="shared" si="4"/>
        <v>8550.76</v>
      </c>
    </row>
    <row r="33" spans="2:16" x14ac:dyDescent="0.2">
      <c r="B33" s="123">
        <v>2</v>
      </c>
      <c r="C33" s="137">
        <f>IF(P36&lt;&gt;0,VLOOKUP($D$7,Info_County_Code,2,FALSE),"")</f>
        <v>50</v>
      </c>
      <c r="D33" s="422" t="s">
        <v>357</v>
      </c>
      <c r="E33" s="423"/>
      <c r="F33" s="423">
        <v>42243</v>
      </c>
      <c r="G33" s="423">
        <v>42248</v>
      </c>
      <c r="H33" s="290">
        <v>2377554</v>
      </c>
      <c r="I33" s="116"/>
      <c r="J33" s="118" t="str">
        <f>IF(NOT(ISBLANK(D33)),$J$29,"")</f>
        <v>Project Administration</v>
      </c>
      <c r="K33" s="120"/>
      <c r="L33" s="120"/>
      <c r="M33" s="116"/>
      <c r="N33" s="116"/>
      <c r="O33" s="129"/>
      <c r="P33" s="293">
        <f t="shared" ref="P33:P36" si="9">SUM(K33:O33)</f>
        <v>0</v>
      </c>
    </row>
    <row r="34" spans="2:16" x14ac:dyDescent="0.2">
      <c r="B34" s="123">
        <v>2</v>
      </c>
      <c r="C34" s="139">
        <f t="shared" ref="C34:I34" si="10">IF(ISBLANK(C33),"",C33)</f>
        <v>50</v>
      </c>
      <c r="D34" s="397" t="str">
        <f t="shared" si="10"/>
        <v>INN-16 - Co-Occurring Disorders Project</v>
      </c>
      <c r="E34" s="140" t="str">
        <f t="shared" si="10"/>
        <v/>
      </c>
      <c r="F34" s="140">
        <f t="shared" si="10"/>
        <v>42243</v>
      </c>
      <c r="G34" s="140">
        <f t="shared" si="10"/>
        <v>42248</v>
      </c>
      <c r="H34" s="122">
        <f t="shared" si="10"/>
        <v>2377554</v>
      </c>
      <c r="I34" s="122" t="str">
        <f t="shared" si="10"/>
        <v/>
      </c>
      <c r="J34" s="119" t="str">
        <f>IF(NOT(ISBLANK(D33)),$J$30,"")</f>
        <v>Project Evaluation</v>
      </c>
      <c r="K34" s="120"/>
      <c r="L34" s="120"/>
      <c r="M34" s="116"/>
      <c r="N34" s="116"/>
      <c r="O34" s="129"/>
      <c r="P34" s="293">
        <f t="shared" si="9"/>
        <v>0</v>
      </c>
    </row>
    <row r="35" spans="2:16" x14ac:dyDescent="0.2">
      <c r="B35" s="123">
        <v>2</v>
      </c>
      <c r="C35" s="139">
        <f t="shared" ref="C35:I35" si="11">IF(ISBLANK(C33),"",C33)</f>
        <v>50</v>
      </c>
      <c r="D35" s="398" t="str">
        <f t="shared" si="11"/>
        <v>INN-16 - Co-Occurring Disorders Project</v>
      </c>
      <c r="E35" s="141" t="str">
        <f t="shared" si="11"/>
        <v/>
      </c>
      <c r="F35" s="141">
        <f t="shared" si="11"/>
        <v>42243</v>
      </c>
      <c r="G35" s="141">
        <f t="shared" si="11"/>
        <v>42248</v>
      </c>
      <c r="H35" s="119">
        <f t="shared" si="11"/>
        <v>2377554</v>
      </c>
      <c r="I35" s="119" t="str">
        <f t="shared" si="11"/>
        <v/>
      </c>
      <c r="J35" s="119" t="str">
        <f>IF(NOT(ISBLANK(D33)),$J$31,"")</f>
        <v>Project Direct</v>
      </c>
      <c r="K35" s="120">
        <v>539231.93999999994</v>
      </c>
      <c r="L35" s="120">
        <v>460913.33</v>
      </c>
      <c r="M35" s="116"/>
      <c r="N35" s="116"/>
      <c r="O35" s="129">
        <f>13127.42+1604.4</f>
        <v>14731.82</v>
      </c>
      <c r="P35" s="293">
        <f t="shared" si="9"/>
        <v>1014877.09</v>
      </c>
    </row>
    <row r="36" spans="2:16" ht="15.75" x14ac:dyDescent="0.25">
      <c r="B36" s="362">
        <v>2</v>
      </c>
      <c r="C36" s="22">
        <f t="shared" ref="C36:I36" si="12">IF(ISBLANK(C33),"",C33)</f>
        <v>50</v>
      </c>
      <c r="D36" s="399" t="str">
        <f t="shared" si="12"/>
        <v>INN-16 - Co-Occurring Disorders Project</v>
      </c>
      <c r="E36" s="33" t="str">
        <f t="shared" si="12"/>
        <v/>
      </c>
      <c r="F36" s="33">
        <f t="shared" si="12"/>
        <v>42243</v>
      </c>
      <c r="G36" s="33">
        <f t="shared" si="12"/>
        <v>42248</v>
      </c>
      <c r="H36" s="34">
        <f t="shared" si="12"/>
        <v>2377554</v>
      </c>
      <c r="I36" s="34" t="str">
        <f t="shared" si="12"/>
        <v/>
      </c>
      <c r="J36" s="8" t="str">
        <f>IF(NOT(ISBLANK(D33)),$J$32,"")</f>
        <v>Project Subtotal</v>
      </c>
      <c r="K36" s="50">
        <f t="shared" ref="K36" si="13">SUM(K33:K35)</f>
        <v>539231.93999999994</v>
      </c>
      <c r="L36" s="50">
        <f>SUM(L33:L35)</f>
        <v>460913.33</v>
      </c>
      <c r="M36" s="35">
        <f t="shared" ref="M36:O36" si="14">SUM(M33:M35)</f>
        <v>0</v>
      </c>
      <c r="N36" s="35">
        <f t="shared" si="14"/>
        <v>0</v>
      </c>
      <c r="O36" s="311">
        <f t="shared" si="14"/>
        <v>14731.82</v>
      </c>
      <c r="P36" s="8">
        <f t="shared" si="9"/>
        <v>1014877.09</v>
      </c>
    </row>
    <row r="37" spans="2:16" x14ac:dyDescent="0.2">
      <c r="B37" s="123">
        <v>2</v>
      </c>
      <c r="C37" s="137">
        <f>IF(P40&lt;&gt;0,VLOOKUP($D$7,Info_County_Code,2,FALSE),"")</f>
        <v>50</v>
      </c>
      <c r="D37" s="416" t="s">
        <v>358</v>
      </c>
      <c r="E37" s="423"/>
      <c r="F37" s="423">
        <v>42488</v>
      </c>
      <c r="G37" s="423">
        <v>42614</v>
      </c>
      <c r="H37" s="290">
        <v>627957</v>
      </c>
      <c r="I37" s="116"/>
      <c r="J37" s="118" t="str">
        <f>IF(NOT(ISBLANK(D37)),$J$29,"")</f>
        <v>Project Administration</v>
      </c>
      <c r="K37" s="120"/>
      <c r="L37" s="120"/>
      <c r="M37" s="116"/>
      <c r="N37" s="116"/>
      <c r="O37" s="129"/>
      <c r="P37" s="293">
        <f t="shared" si="4"/>
        <v>0</v>
      </c>
    </row>
    <row r="38" spans="2:16" x14ac:dyDescent="0.2">
      <c r="B38" s="123">
        <v>2</v>
      </c>
      <c r="C38" s="139">
        <f t="shared" ref="C38:I38" si="15">IF(ISBLANK(C37),"",C37)</f>
        <v>50</v>
      </c>
      <c r="D38" s="397" t="str">
        <f t="shared" si="15"/>
        <v>INN-17 - Suicide Prevention Initiative</v>
      </c>
      <c r="E38" s="140" t="str">
        <f t="shared" si="15"/>
        <v/>
      </c>
      <c r="F38" s="140">
        <f t="shared" si="15"/>
        <v>42488</v>
      </c>
      <c r="G38" s="140">
        <f t="shared" si="15"/>
        <v>42614</v>
      </c>
      <c r="H38" s="122">
        <f t="shared" si="15"/>
        <v>627957</v>
      </c>
      <c r="I38" s="122" t="str">
        <f t="shared" si="15"/>
        <v/>
      </c>
      <c r="J38" s="119" t="str">
        <f>IF(NOT(ISBLANK(D37)),$J$30,"")</f>
        <v>Project Evaluation</v>
      </c>
      <c r="K38" s="120"/>
      <c r="L38" s="120"/>
      <c r="M38" s="116"/>
      <c r="N38" s="116"/>
      <c r="O38" s="129"/>
      <c r="P38" s="293">
        <f t="shared" si="4"/>
        <v>0</v>
      </c>
    </row>
    <row r="39" spans="2:16" x14ac:dyDescent="0.2">
      <c r="B39" s="123">
        <v>2</v>
      </c>
      <c r="C39" s="139">
        <f t="shared" ref="C39:I39" si="16">IF(ISBLANK(C37),"",C37)</f>
        <v>50</v>
      </c>
      <c r="D39" s="398" t="str">
        <f t="shared" si="16"/>
        <v>INN-17 - Suicide Prevention Initiative</v>
      </c>
      <c r="E39" s="141" t="str">
        <f t="shared" si="16"/>
        <v/>
      </c>
      <c r="F39" s="141">
        <f t="shared" si="16"/>
        <v>42488</v>
      </c>
      <c r="G39" s="141">
        <f t="shared" si="16"/>
        <v>42614</v>
      </c>
      <c r="H39" s="119">
        <f t="shared" si="16"/>
        <v>627957</v>
      </c>
      <c r="I39" s="119" t="str">
        <f t="shared" si="16"/>
        <v/>
      </c>
      <c r="J39" s="119" t="str">
        <f>IF(NOT(ISBLANK(D37)),$J$31,"")</f>
        <v>Project Direct</v>
      </c>
      <c r="K39" s="120">
        <v>186116.62</v>
      </c>
      <c r="L39" s="120"/>
      <c r="M39" s="116"/>
      <c r="N39" s="116"/>
      <c r="O39" s="129">
        <v>275.67</v>
      </c>
      <c r="P39" s="293">
        <f t="shared" si="4"/>
        <v>186392.29</v>
      </c>
    </row>
    <row r="40" spans="2:16" ht="15.75" x14ac:dyDescent="0.25">
      <c r="B40" s="96">
        <v>2</v>
      </c>
      <c r="C40" s="22">
        <f t="shared" ref="C40:I40" si="17">IF(ISBLANK(C37),"",C37)</f>
        <v>50</v>
      </c>
      <c r="D40" s="399" t="str">
        <f t="shared" si="17"/>
        <v>INN-17 - Suicide Prevention Initiative</v>
      </c>
      <c r="E40" s="33" t="str">
        <f t="shared" si="17"/>
        <v/>
      </c>
      <c r="F40" s="33">
        <f t="shared" si="17"/>
        <v>42488</v>
      </c>
      <c r="G40" s="33">
        <f t="shared" si="17"/>
        <v>42614</v>
      </c>
      <c r="H40" s="34">
        <f t="shared" si="17"/>
        <v>627957</v>
      </c>
      <c r="I40" s="34" t="str">
        <f t="shared" si="17"/>
        <v/>
      </c>
      <c r="J40" s="8" t="str">
        <f>IF(NOT(ISBLANK(D37)),$J$32,"")</f>
        <v>Project Subtotal</v>
      </c>
      <c r="K40" s="50">
        <f t="shared" ref="K40" si="18">SUM(K37:K39)</f>
        <v>186116.62</v>
      </c>
      <c r="L40" s="50">
        <f>SUM(L37:L39)</f>
        <v>0</v>
      </c>
      <c r="M40" s="35">
        <f t="shared" ref="M40" si="19">SUM(M37:M39)</f>
        <v>0</v>
      </c>
      <c r="N40" s="35">
        <f t="shared" ref="N40" si="20">SUM(N37:N39)</f>
        <v>0</v>
      </c>
      <c r="O40" s="311">
        <f t="shared" ref="O40" si="21">SUM(O37:O39)</f>
        <v>275.67</v>
      </c>
      <c r="P40" s="8">
        <f t="shared" si="4"/>
        <v>186392.29</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topLeftCell="A8" zoomScale="70" zoomScaleNormal="70" zoomScaleSheetLayoutView="55" workbookViewId="0">
      <selection activeCell="D30" sqref="D30"/>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Stanislaus</v>
      </c>
      <c r="F7" s="94" t="s">
        <v>2</v>
      </c>
      <c r="G7" s="38">
        <f>IF(ISBLANK('1. Information'!D7),"",'1. Information'!D7)</f>
        <v>43452</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3" t="s">
        <v>213</v>
      </c>
      <c r="H12" s="464"/>
      <c r="I12" s="464"/>
      <c r="J12" s="465"/>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6" t="s">
        <v>16</v>
      </c>
      <c r="D14" s="446"/>
      <c r="E14" s="442"/>
      <c r="F14" s="290"/>
      <c r="G14" s="142"/>
      <c r="H14" s="142"/>
      <c r="I14" s="142"/>
      <c r="J14" s="142"/>
      <c r="K14" s="292">
        <f>SUM(F14:J14)</f>
        <v>0</v>
      </c>
      <c r="L14"/>
      <c r="M14"/>
      <c r="N14" s="108"/>
      <c r="O14" s="108"/>
    </row>
    <row r="15" spans="1:22" ht="15.75" x14ac:dyDescent="0.25">
      <c r="A15" s="108"/>
      <c r="B15" s="101">
        <v>2</v>
      </c>
      <c r="C15" s="446" t="s">
        <v>17</v>
      </c>
      <c r="D15" s="446"/>
      <c r="E15" s="442"/>
      <c r="F15" s="290"/>
      <c r="G15" s="142"/>
      <c r="H15" s="142"/>
      <c r="I15" s="142"/>
      <c r="J15" s="142"/>
      <c r="K15" s="292">
        <f t="shared" ref="K15:K19" si="0">SUM(F15:J15)</f>
        <v>0</v>
      </c>
      <c r="L15"/>
      <c r="M15"/>
      <c r="N15" s="108"/>
      <c r="O15" s="108"/>
    </row>
    <row r="16" spans="1:22" ht="15.75" x14ac:dyDescent="0.25">
      <c r="A16" s="108"/>
      <c r="B16" s="101">
        <v>3</v>
      </c>
      <c r="C16" s="446" t="s">
        <v>238</v>
      </c>
      <c r="D16" s="446"/>
      <c r="E16" s="442"/>
      <c r="F16" s="290">
        <f>97929.5-162.63</f>
        <v>97766.87</v>
      </c>
      <c r="G16" s="355"/>
      <c r="H16" s="355"/>
      <c r="I16" s="355"/>
      <c r="J16" s="355">
        <v>162.63</v>
      </c>
      <c r="K16" s="292">
        <f t="shared" si="0"/>
        <v>97929.5</v>
      </c>
      <c r="L16"/>
      <c r="M16"/>
      <c r="N16" s="108"/>
      <c r="O16" s="108"/>
    </row>
    <row r="17" spans="1:22" ht="15.75" x14ac:dyDescent="0.25">
      <c r="A17" s="108"/>
      <c r="B17" s="101">
        <v>4</v>
      </c>
      <c r="C17" s="446" t="s">
        <v>221</v>
      </c>
      <c r="D17" s="446"/>
      <c r="E17" s="442"/>
      <c r="F17" s="367"/>
      <c r="G17" s="119"/>
      <c r="H17" s="119"/>
      <c r="I17" s="119"/>
      <c r="J17" s="119"/>
      <c r="K17" s="292">
        <f t="shared" si="0"/>
        <v>0</v>
      </c>
      <c r="L17"/>
      <c r="M17"/>
      <c r="N17" s="108"/>
      <c r="O17" s="108"/>
    </row>
    <row r="18" spans="1:22" ht="15.75" x14ac:dyDescent="0.25">
      <c r="A18" s="108"/>
      <c r="B18" s="101">
        <v>5</v>
      </c>
      <c r="C18" s="446" t="s">
        <v>222</v>
      </c>
      <c r="D18" s="446"/>
      <c r="E18" s="442"/>
      <c r="F18" s="367"/>
      <c r="G18" s="119"/>
      <c r="H18" s="119"/>
      <c r="I18" s="119"/>
      <c r="J18" s="119"/>
      <c r="K18" s="292">
        <f t="shared" si="0"/>
        <v>0</v>
      </c>
      <c r="L18"/>
      <c r="M18"/>
      <c r="N18" s="108"/>
      <c r="O18" s="108"/>
    </row>
    <row r="19" spans="1:22" ht="15.75" x14ac:dyDescent="0.25">
      <c r="A19" s="108"/>
      <c r="B19" s="101">
        <v>6</v>
      </c>
      <c r="C19" s="442" t="s">
        <v>174</v>
      </c>
      <c r="D19" s="443"/>
      <c r="E19" s="444"/>
      <c r="F19" s="122">
        <f>SUM(E28:E32)</f>
        <v>412352.8</v>
      </c>
      <c r="G19" s="121">
        <f t="shared" ref="G19:I19" si="1">SUM(F28:F32)</f>
        <v>0</v>
      </c>
      <c r="H19" s="122">
        <f t="shared" si="1"/>
        <v>0</v>
      </c>
      <c r="I19" s="122">
        <f t="shared" si="1"/>
        <v>0</v>
      </c>
      <c r="J19" s="122">
        <f>SUM(I28:I32)</f>
        <v>0</v>
      </c>
      <c r="K19" s="293">
        <f t="shared" si="0"/>
        <v>412352.8</v>
      </c>
      <c r="L19"/>
      <c r="M19"/>
      <c r="N19" s="108"/>
      <c r="O19" s="108"/>
    </row>
    <row r="20" spans="1:22" ht="30.95" customHeight="1" x14ac:dyDescent="0.25">
      <c r="A20" s="108"/>
      <c r="B20" s="101">
        <v>7</v>
      </c>
      <c r="C20" s="458" t="s">
        <v>220</v>
      </c>
      <c r="D20" s="458"/>
      <c r="E20" s="458"/>
      <c r="F20" s="8">
        <f>SUM(F14:F16,F18:F19)</f>
        <v>510119.67</v>
      </c>
      <c r="G20" s="43">
        <f t="shared" ref="G20:J20" si="2">SUM(G14:G16,G18:G19)</f>
        <v>0</v>
      </c>
      <c r="H20" s="7">
        <f t="shared" si="2"/>
        <v>0</v>
      </c>
      <c r="I20" s="7">
        <f t="shared" si="2"/>
        <v>0</v>
      </c>
      <c r="J20" s="7">
        <f t="shared" si="2"/>
        <v>162.63</v>
      </c>
      <c r="K20" s="8">
        <f>SUM(K14:K16,K18:K19)</f>
        <v>510282.3</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6" t="s">
        <v>30</v>
      </c>
      <c r="G26" s="466"/>
      <c r="H26" s="466"/>
      <c r="I26" s="466"/>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50</v>
      </c>
      <c r="D28" s="145" t="s">
        <v>105</v>
      </c>
      <c r="E28" s="117">
        <v>169488.09</v>
      </c>
      <c r="F28" s="120"/>
      <c r="G28" s="117"/>
      <c r="H28" s="117"/>
      <c r="I28" s="312"/>
      <c r="J28" s="119">
        <f>SUM(E28:I28)</f>
        <v>169488.09</v>
      </c>
      <c r="K28"/>
      <c r="L28"/>
      <c r="M28"/>
      <c r="N28"/>
      <c r="O28"/>
      <c r="P28"/>
      <c r="Q28"/>
      <c r="R28"/>
    </row>
    <row r="29" spans="1:22" ht="15.75" x14ac:dyDescent="0.25">
      <c r="A29" s="108"/>
      <c r="B29" s="101">
        <v>2</v>
      </c>
      <c r="C29" s="132">
        <f>IF(J29&lt;&gt;0,VLOOKUP($D$7,Info_County_Code,2,FALSE),"")</f>
        <v>50</v>
      </c>
      <c r="D29" s="145" t="s">
        <v>106</v>
      </c>
      <c r="E29" s="116">
        <f>39729.7+133139.36</f>
        <v>172869.06</v>
      </c>
      <c r="F29" s="120"/>
      <c r="G29" s="116"/>
      <c r="H29" s="116"/>
      <c r="I29" s="313"/>
      <c r="J29" s="119">
        <f t="shared" ref="J29:J32" si="3">SUM(E29:I29)</f>
        <v>172869.06</v>
      </c>
      <c r="K29"/>
      <c r="L29"/>
      <c r="M29"/>
      <c r="N29"/>
      <c r="O29"/>
      <c r="P29"/>
      <c r="Q29"/>
      <c r="R29"/>
    </row>
    <row r="30" spans="1:22" ht="15.75" x14ac:dyDescent="0.25">
      <c r="A30" s="108"/>
      <c r="B30" s="101">
        <v>3</v>
      </c>
      <c r="C30" s="132">
        <f>IF(J30&lt;&gt;0,VLOOKUP($D$7,Info_County_Code,2,FALSE),"")</f>
        <v>50</v>
      </c>
      <c r="D30" s="145" t="s">
        <v>107</v>
      </c>
      <c r="E30" s="116">
        <f>75066.17+5000</f>
        <v>80066.17</v>
      </c>
      <c r="F30" s="120"/>
      <c r="G30" s="116"/>
      <c r="H30" s="116"/>
      <c r="I30" s="313"/>
      <c r="J30" s="119">
        <f t="shared" si="3"/>
        <v>80066.17</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f>IF(J32&lt;&gt;0,VLOOKUP($D$7,Info_County_Code,2,FALSE),"")</f>
        <v>50</v>
      </c>
      <c r="D32" s="145" t="s">
        <v>109</v>
      </c>
      <c r="E32" s="116">
        <v>-10070.52</v>
      </c>
      <c r="F32" s="120"/>
      <c r="G32" s="116"/>
      <c r="H32" s="116"/>
      <c r="I32" s="313"/>
      <c r="J32" s="119">
        <f t="shared" si="3"/>
        <v>-10070.52</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opLeftCell="A8" zoomScale="70" zoomScaleNormal="70" zoomScaleSheetLayoutView="40" workbookViewId="0">
      <selection activeCell="D30" sqref="D30"/>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60"/>
      <c r="C1" s="460"/>
      <c r="D1" s="460"/>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Stanislaus</v>
      </c>
      <c r="E7" s="16"/>
      <c r="F7" s="95" t="s">
        <v>2</v>
      </c>
      <c r="G7" s="109">
        <f>IF(ISBLANK('1. Information'!D7),"",'1. Information'!D7)</f>
        <v>43452</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8" t="s">
        <v>213</v>
      </c>
      <c r="H12" s="448"/>
      <c r="I12" s="448"/>
      <c r="J12" s="448"/>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6" t="s">
        <v>189</v>
      </c>
      <c r="D14" s="446"/>
      <c r="E14" s="442"/>
      <c r="F14" s="142"/>
      <c r="G14" s="142"/>
      <c r="H14" s="142"/>
      <c r="I14" s="142"/>
      <c r="J14" s="142"/>
      <c r="K14" s="118">
        <f>SUM(F14:J14)</f>
        <v>0</v>
      </c>
      <c r="L14"/>
      <c r="M14"/>
      <c r="U14" s="108"/>
      <c r="V14" s="108"/>
      <c r="W14" s="108"/>
    </row>
    <row r="15" spans="2:23" x14ac:dyDescent="0.25">
      <c r="B15" s="101">
        <v>2</v>
      </c>
      <c r="C15" s="446" t="s">
        <v>188</v>
      </c>
      <c r="D15" s="446"/>
      <c r="E15" s="442"/>
      <c r="F15" s="142"/>
      <c r="G15" s="142"/>
      <c r="H15" s="142"/>
      <c r="I15" s="142"/>
      <c r="J15" s="142"/>
      <c r="K15" s="118">
        <f t="shared" ref="K15:K20" si="0">SUM(F15:J15)</f>
        <v>0</v>
      </c>
      <c r="L15"/>
      <c r="M15"/>
      <c r="U15" s="108"/>
      <c r="V15" s="108"/>
      <c r="W15" s="108"/>
    </row>
    <row r="16" spans="2:23" x14ac:dyDescent="0.25">
      <c r="B16" s="101">
        <v>3</v>
      </c>
      <c r="C16" s="446" t="s">
        <v>123</v>
      </c>
      <c r="D16" s="446"/>
      <c r="E16" s="442"/>
      <c r="F16" s="142"/>
      <c r="G16" s="142"/>
      <c r="H16" s="142"/>
      <c r="I16" s="142"/>
      <c r="J16" s="142"/>
      <c r="K16" s="118">
        <f t="shared" si="0"/>
        <v>0</v>
      </c>
      <c r="L16"/>
      <c r="M16"/>
      <c r="U16" s="108"/>
      <c r="V16" s="108"/>
      <c r="W16" s="108"/>
    </row>
    <row r="17" spans="2:23" x14ac:dyDescent="0.25">
      <c r="B17" s="101">
        <v>4</v>
      </c>
      <c r="C17" s="446" t="s">
        <v>122</v>
      </c>
      <c r="D17" s="446"/>
      <c r="E17" s="442"/>
      <c r="F17" s="142"/>
      <c r="G17" s="142"/>
      <c r="H17" s="142"/>
      <c r="I17" s="142"/>
      <c r="J17" s="142"/>
      <c r="K17" s="118">
        <f t="shared" si="0"/>
        <v>0</v>
      </c>
      <c r="L17"/>
      <c r="M17"/>
      <c r="U17" s="108"/>
      <c r="V17" s="108"/>
      <c r="W17" s="108"/>
    </row>
    <row r="18" spans="2:23" x14ac:dyDescent="0.25">
      <c r="B18" s="101">
        <v>5</v>
      </c>
      <c r="C18" s="446" t="s">
        <v>239</v>
      </c>
      <c r="D18" s="446"/>
      <c r="E18" s="442"/>
      <c r="F18" s="142"/>
      <c r="G18" s="142"/>
      <c r="H18" s="142"/>
      <c r="I18" s="142"/>
      <c r="J18" s="142"/>
      <c r="K18" s="118">
        <f t="shared" si="0"/>
        <v>0</v>
      </c>
      <c r="L18"/>
      <c r="M18"/>
      <c r="U18" s="108"/>
      <c r="V18" s="108"/>
      <c r="W18" s="108"/>
    </row>
    <row r="19" spans="2:23" x14ac:dyDescent="0.25">
      <c r="B19" s="101">
        <v>6</v>
      </c>
      <c r="C19" s="446" t="s">
        <v>240</v>
      </c>
      <c r="D19" s="446"/>
      <c r="E19" s="442"/>
      <c r="F19" s="142"/>
      <c r="G19" s="142"/>
      <c r="H19" s="142"/>
      <c r="I19" s="142"/>
      <c r="J19" s="355"/>
      <c r="K19" s="118">
        <f t="shared" si="0"/>
        <v>0</v>
      </c>
      <c r="L19"/>
      <c r="M19"/>
      <c r="U19" s="108"/>
      <c r="V19" s="108"/>
      <c r="W19" s="108"/>
    </row>
    <row r="20" spans="2:23" x14ac:dyDescent="0.25">
      <c r="B20" s="101">
        <v>7</v>
      </c>
      <c r="C20" s="446" t="s">
        <v>175</v>
      </c>
      <c r="D20" s="446"/>
      <c r="E20" s="446"/>
      <c r="F20" s="121">
        <f>SUM(G28:G47)</f>
        <v>1033027.96</v>
      </c>
      <c r="G20" s="121">
        <f>SUM(H28:H47)</f>
        <v>0</v>
      </c>
      <c r="H20" s="122">
        <f t="shared" ref="H20" si="1">SUM(I28:I47)</f>
        <v>0</v>
      </c>
      <c r="I20" s="122">
        <f>SUM(J28:J47)</f>
        <v>0</v>
      </c>
      <c r="J20" s="119">
        <f>SUM(K28:K47)</f>
        <v>0</v>
      </c>
      <c r="K20" s="118">
        <f t="shared" si="0"/>
        <v>1033027.96</v>
      </c>
      <c r="L20"/>
      <c r="M20"/>
      <c r="U20" s="108"/>
      <c r="V20" s="108"/>
      <c r="W20" s="108"/>
    </row>
    <row r="21" spans="2:23" ht="30.95" customHeight="1" x14ac:dyDescent="0.25">
      <c r="B21" s="101">
        <v>8</v>
      </c>
      <c r="C21" s="467" t="s">
        <v>20</v>
      </c>
      <c r="D21" s="467"/>
      <c r="E21" s="467"/>
      <c r="F21" s="43">
        <f>SUM(F14:F20)</f>
        <v>1033027.96</v>
      </c>
      <c r="G21" s="43">
        <f>SUM(G14:G20)</f>
        <v>0</v>
      </c>
      <c r="H21" s="7">
        <f t="shared" ref="H21:J21" si="2">SUM(H14:H20)</f>
        <v>0</v>
      </c>
      <c r="I21" s="7">
        <f t="shared" si="2"/>
        <v>0</v>
      </c>
      <c r="J21" s="299">
        <f t="shared" si="2"/>
        <v>0</v>
      </c>
      <c r="K21" s="7">
        <f t="shared" ref="K21" si="3">SUM(K14:K20)</f>
        <v>1033027.96</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6" t="s">
        <v>224</v>
      </c>
      <c r="E26" s="466"/>
      <c r="F26" s="466"/>
      <c r="G26" s="344" t="s">
        <v>214</v>
      </c>
      <c r="H26" s="466" t="s">
        <v>213</v>
      </c>
      <c r="I26" s="466"/>
      <c r="J26" s="466"/>
      <c r="K26" s="466"/>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50</v>
      </c>
      <c r="D28" s="417" t="s">
        <v>359</v>
      </c>
      <c r="E28" s="151"/>
      <c r="F28" s="125"/>
      <c r="G28" s="117">
        <v>628260.98</v>
      </c>
      <c r="H28" s="126"/>
      <c r="I28" s="126"/>
      <c r="J28" s="117"/>
      <c r="K28" s="312"/>
      <c r="L28" s="316">
        <f>SUM(G28:K28)</f>
        <v>628260.98</v>
      </c>
      <c r="M28"/>
      <c r="U28" s="108"/>
      <c r="V28" s="108"/>
      <c r="W28" s="108"/>
    </row>
    <row r="29" spans="2:23" x14ac:dyDescent="0.25">
      <c r="B29" s="101">
        <v>2</v>
      </c>
      <c r="C29" s="132">
        <f t="shared" si="4"/>
        <v>50</v>
      </c>
      <c r="D29" s="416" t="s">
        <v>360</v>
      </c>
      <c r="E29" s="396"/>
      <c r="F29" s="125"/>
      <c r="G29" s="117">
        <v>199174.86</v>
      </c>
      <c r="H29" s="126"/>
      <c r="I29" s="120"/>
      <c r="J29" s="116"/>
      <c r="K29" s="313"/>
      <c r="L29" s="316">
        <f t="shared" ref="L29:L47" si="5">SUM(G29:K29)</f>
        <v>199174.86</v>
      </c>
      <c r="M29"/>
      <c r="U29" s="108"/>
      <c r="V29" s="108"/>
      <c r="W29" s="108"/>
    </row>
    <row r="30" spans="2:23" x14ac:dyDescent="0.25">
      <c r="B30" s="101">
        <v>3</v>
      </c>
      <c r="C30" s="132">
        <f t="shared" si="4"/>
        <v>50</v>
      </c>
      <c r="D30" s="416" t="s">
        <v>361</v>
      </c>
      <c r="E30" s="396"/>
      <c r="F30" s="125"/>
      <c r="G30" s="117">
        <v>139255.71</v>
      </c>
      <c r="H30" s="126"/>
      <c r="I30" s="120"/>
      <c r="J30" s="116"/>
      <c r="K30" s="313"/>
      <c r="L30" s="316">
        <f t="shared" si="5"/>
        <v>139255.71</v>
      </c>
      <c r="M30"/>
      <c r="U30" s="108"/>
      <c r="V30" s="108"/>
      <c r="W30" s="108"/>
    </row>
    <row r="31" spans="2:23" x14ac:dyDescent="0.25">
      <c r="B31" s="101">
        <v>4</v>
      </c>
      <c r="C31" s="132">
        <f t="shared" si="4"/>
        <v>50</v>
      </c>
      <c r="D31" s="416" t="s">
        <v>362</v>
      </c>
      <c r="E31" s="396"/>
      <c r="F31" s="125"/>
      <c r="G31" s="117">
        <v>66336.41</v>
      </c>
      <c r="H31" s="126"/>
      <c r="I31" s="120"/>
      <c r="J31" s="116"/>
      <c r="K31" s="313"/>
      <c r="L31" s="316">
        <f t="shared" si="5"/>
        <v>66336.41</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2019-01-04T15:50:48Z</cp:lastPrinted>
  <dcterms:created xsi:type="dcterms:W3CDTF">2017-07-05T19:48:18Z</dcterms:created>
  <dcterms:modified xsi:type="dcterms:W3CDTF">2019-05-21T21:34:01Z</dcterms:modified>
</cp:coreProperties>
</file>