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workbookProtection workbookAlgorithmName="SHA-512" workbookHashValue="XbQgPj4j8l8hJ2GktSvWBsW8YyEEQUp+fqnJ1gqMMZkBsdRJFxzidlzDHv4TTxUVCeV6WdKt+OLmOIPqYAesIw==" workbookSaltValue="q2nx+aO2D7ui9FyZRJCyPw==" workbookSpinCount="100000" lockStructure="1"/>
  <bookViews>
    <workbookView xWindow="0" yWindow="0" windowWidth="19200" windowHeight="10860" tabRatio="584" firstSheet="6" activeTab="12"/>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2" l="1"/>
  <c r="H34" i="22"/>
  <c r="D23" i="19" l="1"/>
  <c r="L36" i="2" l="1"/>
  <c r="F16" i="5"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9" i="2" l="1"/>
  <c r="C40" i="2"/>
  <c r="C44" i="2"/>
  <c r="C45" i="2"/>
  <c r="C51" i="2"/>
  <c r="C52" i="2"/>
  <c r="C56" i="2"/>
  <c r="C57" i="2"/>
  <c r="C61" i="2"/>
  <c r="C62" i="2"/>
  <c r="C68" i="2"/>
  <c r="C69"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22" i="3"/>
  <c r="C118" i="3"/>
  <c r="C123" i="3"/>
  <c r="P96" i="3"/>
  <c r="C93" i="3" s="1"/>
  <c r="C96" i="3" s="1"/>
  <c r="C94" i="3"/>
  <c r="C95" i="3"/>
  <c r="C90" i="3"/>
  <c r="C91" i="3"/>
  <c r="P36" i="3"/>
  <c r="C110" i="3" l="1"/>
  <c r="C115" i="3"/>
  <c r="C114" i="3"/>
  <c r="C107" i="3"/>
  <c r="C102" i="3"/>
  <c r="C119" i="3"/>
  <c r="C103" i="3"/>
  <c r="C129" i="3"/>
  <c r="C132" i="3" s="1"/>
  <c r="C98" i="3"/>
  <c r="C111" i="3"/>
  <c r="C128" i="3"/>
  <c r="C127" i="3"/>
  <c r="C99" i="3"/>
  <c r="C106" i="3"/>
  <c r="B3" i="20"/>
  <c r="B4" i="20"/>
  <c r="C130" i="3" l="1"/>
  <c r="C131"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7" i="22" l="1"/>
  <c r="C34" i="22"/>
  <c r="C39" i="22"/>
  <c r="C36" i="22"/>
  <c r="C41" i="22"/>
  <c r="C40" i="22"/>
  <c r="C35" i="22"/>
  <c r="C38"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C33" i="3" s="1"/>
  <c r="D7" i="2"/>
  <c r="C71" i="17"/>
  <c r="B71" i="17"/>
  <c r="E71" i="17" s="1"/>
  <c r="E70" i="17"/>
  <c r="C69" i="17"/>
  <c r="B69" i="17"/>
  <c r="E69" i="17" s="1"/>
  <c r="C37" i="2" l="1"/>
  <c r="C53" i="2"/>
  <c r="C65" i="2"/>
  <c r="C38" i="2"/>
  <c r="C47" i="2"/>
  <c r="C55" i="2"/>
  <c r="C63" i="2"/>
  <c r="C71" i="2"/>
  <c r="C48" i="2"/>
  <c r="C64" i="2"/>
  <c r="C72" i="2"/>
  <c r="C41" i="2"/>
  <c r="C42" i="2"/>
  <c r="C50" i="2"/>
  <c r="C58" i="2"/>
  <c r="C66" i="2"/>
  <c r="C43" i="2"/>
  <c r="C59" i="2"/>
  <c r="C67" i="2"/>
  <c r="C54" i="2"/>
  <c r="C36" i="2"/>
  <c r="C60" i="2"/>
  <c r="C46" i="2"/>
  <c r="C70" i="2"/>
  <c r="C49" i="2"/>
  <c r="C30" i="5"/>
  <c r="C29" i="5"/>
  <c r="C28" i="5"/>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3" i="3"/>
  <c r="C70" i="3"/>
  <c r="C71" i="3"/>
  <c r="C66" i="3"/>
  <c r="C67" i="3"/>
  <c r="C64" i="3"/>
  <c r="C63" i="3"/>
  <c r="C60" i="3"/>
  <c r="C50" i="3"/>
  <c r="C52" i="3"/>
  <c r="C44" i="3"/>
  <c r="C43" i="3"/>
  <c r="C39" i="3"/>
  <c r="C76" i="3" l="1"/>
  <c r="C82" i="3"/>
  <c r="C78" i="3"/>
  <c r="C75" i="3"/>
  <c r="C79" i="3"/>
  <c r="C46" i="3"/>
  <c r="C55" i="3"/>
  <c r="C87" i="3"/>
  <c r="C38" i="3"/>
  <c r="C56" i="3"/>
  <c r="C86" i="3"/>
  <c r="C47" i="3"/>
  <c r="C5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F22" i="3" s="1"/>
  <c r="G19" i="3"/>
  <c r="H18" i="3"/>
  <c r="H22" i="3" s="1"/>
  <c r="I18" i="3"/>
  <c r="J18" i="3"/>
  <c r="J19" i="3"/>
  <c r="G18" i="3"/>
  <c r="H19" i="3"/>
  <c r="I19" i="3"/>
  <c r="G22" i="3" l="1"/>
  <c r="I22" i="3"/>
  <c r="F33" i="19" s="1"/>
  <c r="N33" i="19" s="1"/>
  <c r="J22" i="3"/>
  <c r="K18" i="3"/>
  <c r="K19" i="3"/>
  <c r="D40" i="19" s="1"/>
  <c r="F30" i="19"/>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<sst xmlns="http://schemas.openxmlformats.org/spreadsheetml/2006/main" count="832" uniqueCount="353">
  <si>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</si>
  <si>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</si>
  <si>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</si>
  <si>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</si>
  <si>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</si>
  <si>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</si>
  <si>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</si>
  <si>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</si>
  <si>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</si>
  <si>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</si>
  <si>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</si>
  <si>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</si>
  <si>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</si>
  <si>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</si>
  <si>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</si>
  <si>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</si>
  <si>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</si>
  <si>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</si>
  <si>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</si>
  <si>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</si>
  <si>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</si>
  <si>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</si>
  <si>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</si>
  <si>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</si>
  <si>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</si>
  <si>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</si>
  <si>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</si>
  <si>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</si>
  <si>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</si>
  <si>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</si>
  <si>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</si>
  <si>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</si>
  <si>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</si>
  <si>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</si>
  <si>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</si>
  <si>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</si>
  <si>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</si>
  <si>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</si>
  <si>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</si>
  <si>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</si>
  <si>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</si>
  <si>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</si>
  <si>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</si>
  <si>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</si>
  <si>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</si>
  <si>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</si>
  <si>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</si>
  <si>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</si>
  <si>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</si>
  <si>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</si>
  <si>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</si>
  <si>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</si>
  <si>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</si>
  <si>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</si>
  <si>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</si>
  <si>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</si>
  <si>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</si>
  <si>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</si>
  <si>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</si>
  <si>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</si>
  <si>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</si>
  <si>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</si>
  <si>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</si>
  <si>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</si>
  <si>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</si>
  <si>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</si>
  <si>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</si>
  <si>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</si>
  <si>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</si>
  <si>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</si>
  <si>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</si>
  <si>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</si>
  <si>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</si>
  <si>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</si>
  <si>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</si>
  <si>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</si>
  <si>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</si>
  <si>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</si>
  <si>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</si>
  <si>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</si>
  <si>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</si>
  <si>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</si>
  <si>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</si>
  <si>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</si>
  <si>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</si>
  <si>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</si>
  <si>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</si>
  <si>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</si>
  <si>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</si>
  <si>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</si>
  <si>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</si>
  <si>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</si>
  <si>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</si>
  <si>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</si>
  <si>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</si>
  <si>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</si>
  <si>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</si>
  <si>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</si>
  <si>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</si>
  <si>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</si>
  <si>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</si>
  <si>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</si>
  <si>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</si>
  <si>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</si>
  <si>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</si>
  <si>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</si>
  <si>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</si>
  <si>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</si>
  <si>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</si>
  <si>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</si>
  <si>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</si>
  <si>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</si>
  <si>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</si>
  <si>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</si>
  <si>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</si>
  <si>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</si>
  <si>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</si>
  <si>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</si>
  <si>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</si>
  <si>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</si>
  <si>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</si>
  <si>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</si>
  <si>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</si>
  <si>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</si>
  <si>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</si>
  <si>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</si>
  <si>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</si>
  <si>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</si>
  <si>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</si>
  <si>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</si>
  <si>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</si>
  <si>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</si>
  <si>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</si>
  <si>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</si>
  <si>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</si>
  <si>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</si>
  <si>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</si>
  <si>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</si>
  <si>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</si>
  <si>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</si>
  <si>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</si>
  <si>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</si>
  <si>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</si>
  <si>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</si>
  <si>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</si>
  <si>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</si>
  <si>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</si>
  <si>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</si>
  <si>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</si>
  <si>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</si>
  <si>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</si>
  <si>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</si>
  <si>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</si>
  <si>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</si>
  <si>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</si>
  <si>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</si>
  <si>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</si>
  <si>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</si>
  <si>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</si>
  <si>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</si>
  <si>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</si>
  <si>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</si>
  <si>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</si>
  <si>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</si>
  <si>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</si>
  <si>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</si>
  <si>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</si>
  <si>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</si>
  <si>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</si>
  <si>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</si>
  <si>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</si>
  <si>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</si>
  <si>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</si>
  <si>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</si>
  <si>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</si>
  <si>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</si>
  <si>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</si>
  <si>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</si>
  <si>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</si>
  <si>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</si>
  <si>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</si>
  <si>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</si>
  <si>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</si>
  <si>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</si>
  <si>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</si>
  <si>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</si>
  <si>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</si>
  <si>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</si>
  <si>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</si>
  <si>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</si>
  <si>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</si>
  <si>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</si>
  <si>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</si>
  <si>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</si>
  <si>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</si>
  <si>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</si>
  <si>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</si>
  <si>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</si>
  <si>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</si>
  <si>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</si>
  <si>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</si>
  <si>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</si>
  <si>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</si>
  <si>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</si>
  <si>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</si>
  <si>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</si>
  <si>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</si>
  <si>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</si>
  <si>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</si>
  <si>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</si>
  <si>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</si>
  <si>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</si>
  <si>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</si>
  <si>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</si>
  <si>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</si>
  <si>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</si>
  <si>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</si>
  <si>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</si>
  <si>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</si>
  <si>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</si>
  <si>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</si>
  <si>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</si>
  <si>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</si>
  <si>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</si>
  <si>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</si>
  <si>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</si>
  <si>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</si>
  <si>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</si>
  <si>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</si>
  <si>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</si>
  <si>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</si>
  <si>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</si>
  <si>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</si>
  <si>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</si>
  <si>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</si>
  <si>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</si>
  <si>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</si>
  <si>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</si>
  <si>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</si>
  <si>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</si>
  <si>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</si>
  <si>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</si>
  <si>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</si>
  <si>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</si>
  <si>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</si>
  <si>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</si>
  <si>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</si>
  <si>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</si>
  <si>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</si>
  <si>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</si>
  <si>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</si>
  <si>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</si>
  <si>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</si>
  <si>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</si>
  <si>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</si>
  <si>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</si>
  <si>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</si>
  <si>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</si>
  <si>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</si>
  <si>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</si>
  <si>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</si>
  <si>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</si>
  <si>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</si>
  <si>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</si>
  <si>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</si>
  <si>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</si>
  <si>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</si>
  <si>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</si>
  <si>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</si>
  <si>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</si>
  <si>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</si>
  <si>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</si>
  <si>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</si>
  <si>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</si>
  <si>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</si>
  <si>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</si>
  <si>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</si>
  <si>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</si>
  <si>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</si>
  <si>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</si>
  <si>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</si>
  <si>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</si>
  <si>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</si>
  <si>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</si>
  <si>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</si>
  <si>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</si>
  <si>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</si>
  <si>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</si>
  <si>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</si>
  <si>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</si>
  <si>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</si>
  <si>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</si>
  <si>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</si>
  <si>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</si>
  <si>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</si>
  <si>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</si>
  <si>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</si>
  <si>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</si>
  <si>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</si>
  <si>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</si>
  <si>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</si>
  <si>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</si>
  <si>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</si>
  <si>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</si>
  <si>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</si>
  <si>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</si>
  <si>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</si>
  <si>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</si>
  <si>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</si>
  <si>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</si>
  <si>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</si>
  <si>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</si>
  <si>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</si>
  <si>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</si>
  <si>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</si>
  <si>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</si>
  <si>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</si>
  <si>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</si>
  <si>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</si>
  <si>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</si>
  <si>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</si>
  <si>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</si>
  <si>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1717 N. Indian Hill Blvd.</t>
  </si>
  <si>
    <t>Diana Acosta</t>
  </si>
  <si>
    <t>Chief Financial Officer</t>
  </si>
  <si>
    <t>dacosta@tricitymhs.org</t>
  </si>
  <si>
    <t>909-451-6434</t>
  </si>
  <si>
    <t>Cognitive Remediation Therapy</t>
  </si>
  <si>
    <t>Employment Stability</t>
  </si>
  <si>
    <t>FSP Child</t>
  </si>
  <si>
    <t>FSP TAY</t>
  </si>
  <si>
    <t>FSP Adult</t>
  </si>
  <si>
    <t>FSP Older Adult</t>
  </si>
  <si>
    <t>Navigators</t>
  </si>
  <si>
    <t>Wellness Center</t>
  </si>
  <si>
    <t>Supplemental Crisis Support Services</t>
  </si>
  <si>
    <t>Field Capable Services</t>
  </si>
  <si>
    <t>CSS Housing</t>
  </si>
  <si>
    <t>Family Wellbeing</t>
  </si>
  <si>
    <t>Wellness Groups</t>
  </si>
  <si>
    <t>Support Groups</t>
  </si>
  <si>
    <t>Tay Wellbeing</t>
  </si>
  <si>
    <t>Peer Mentor Program</t>
  </si>
  <si>
    <t>Older Adult Wellbeing</t>
  </si>
  <si>
    <t>Housing Stability</t>
  </si>
  <si>
    <t>Tenant &amp; Landlord Support</t>
  </si>
  <si>
    <t>Housing Navigators</t>
  </si>
  <si>
    <t>NAMI</t>
  </si>
  <si>
    <t>Community Capacity Building</t>
  </si>
  <si>
    <t>Community Grants</t>
  </si>
  <si>
    <t>Therapeutic Community Garden</t>
  </si>
  <si>
    <t>Group Therapy</t>
  </si>
  <si>
    <t>Community Events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</si>
</sst>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69">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7"/>
      <c r="C1" s="457"/>
      <c r="D1" s="457"/>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0" t="s">
        <v>1</v>
      </c>
      <c r="C7" s="430"/>
      <c r="D7" s="9" t="str">
        <f>IF(ISBLANK('1. Information'!D8),"",'1. Information'!D8)</f>
        <v>Tri-City</v>
      </c>
      <c r="F7" s="94" t="s">
        <v>2</v>
      </c>
      <c r="G7" s="109">
        <f>IF(ISBLANK('1. Information'!D7),"",'1. Information'!D7)</f>
        <v>43495</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6" t="s">
        <v>30</v>
      </c>
      <c r="G12" s="456"/>
      <c r="H12" s="456"/>
      <c r="I12" s="456"/>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opLeftCell="A55"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0" t="s">
        <v>1</v>
      </c>
      <c r="C7" s="430"/>
      <c r="D7" s="9" t="str">
        <f>IF(ISBLANK('1. Information'!D8),"",'1. Information'!D8)</f>
        <v>Tri-City</v>
      </c>
      <c r="E7" s="3"/>
      <c r="F7" s="97" t="s">
        <v>178</v>
      </c>
      <c r="G7" s="109">
        <f>IF(ISBLANK('1. Information'!D7),"",'1. Information'!D7)</f>
        <v>43495</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opLeftCell="A52"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7"/>
      <c r="C1" s="457"/>
      <c r="D1" s="457"/>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0" t="s">
        <v>1</v>
      </c>
      <c r="C7" s="430"/>
      <c r="D7" s="9" t="str">
        <f>IF(ISBLANK('1. Information'!D8),"",'1. Information'!D8)</f>
        <v>Tri-City</v>
      </c>
      <c r="F7" s="94" t="s">
        <v>2</v>
      </c>
      <c r="G7" s="38">
        <f>IF(ISBLANK('1. Information'!D7),"",'1. Information'!D7)</f>
        <v>43495</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tabSelected="1" topLeftCell="A7" zoomScale="85" zoomScaleNormal="85" workbookViewId="0">
      <selection activeCell="C9" sqref="C9"/>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120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5" t="s">
        <v>169</v>
      </c>
      <c r="B1" s="466"/>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8" t="s">
        <v>198</v>
      </c>
      <c r="B2" s="468"/>
      <c r="C2" s="468"/>
      <c r="D2" s="468"/>
      <c r="E2" s="468"/>
    </row>
    <row r="3" spans="1:7" ht="14.25" customHeight="1" x14ac:dyDescent="0.25">
      <c r="A3" s="468" t="s">
        <v>307</v>
      </c>
      <c r="B3" s="468"/>
      <c r="C3" s="468"/>
      <c r="D3" s="468"/>
      <c r="E3" s="468"/>
    </row>
    <row r="4" spans="1:7" ht="14.25" customHeight="1" thickBot="1" x14ac:dyDescent="0.3">
      <c r="A4" s="173"/>
      <c r="B4" s="174"/>
      <c r="C4" s="175"/>
      <c r="D4" s="176"/>
    </row>
    <row r="5" spans="1:7" ht="14.25" customHeight="1" x14ac:dyDescent="0.25">
      <c r="A5" s="177" t="s">
        <v>199</v>
      </c>
      <c r="B5" s="467" t="s">
        <v>200</v>
      </c>
      <c r="C5" s="467"/>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J9" sqref="J9"/>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6" t="s">
        <v>280</v>
      </c>
      <c r="C7" s="424"/>
      <c r="F7" s="224"/>
    </row>
    <row r="8" spans="1:7" ht="55.5" customHeight="1" x14ac:dyDescent="0.2">
      <c r="B8" s="427" t="s">
        <v>281</v>
      </c>
      <c r="C8" s="428"/>
      <c r="F8" s="222"/>
      <c r="G8" s="224"/>
    </row>
    <row r="9" spans="1:7" ht="39.950000000000003" customHeight="1" x14ac:dyDescent="0.2">
      <c r="B9" s="427" t="s">
        <v>279</v>
      </c>
      <c r="C9" s="428"/>
      <c r="E9" s="222"/>
      <c r="F9" s="223"/>
    </row>
    <row r="10" spans="1:7" ht="39.950000000000003" customHeight="1" x14ac:dyDescent="0.2">
      <c r="B10" s="428" t="s">
        <v>264</v>
      </c>
      <c r="C10" s="428"/>
      <c r="D10" s="221"/>
    </row>
    <row r="11" spans="1:7" x14ac:dyDescent="0.2"/>
    <row r="12" spans="1:7" ht="29.25" customHeight="1" x14ac:dyDescent="0.2">
      <c r="B12" s="424" t="s">
        <v>266</v>
      </c>
      <c r="C12" s="425" t="s">
        <v>272</v>
      </c>
    </row>
    <row r="13" spans="1:7" ht="18" customHeight="1" x14ac:dyDescent="0.2">
      <c r="B13" s="424"/>
      <c r="C13" s="424"/>
    </row>
    <row r="14" spans="1:7" ht="60.75" customHeight="1" x14ac:dyDescent="0.2">
      <c r="B14" s="421" t="s">
        <v>267</v>
      </c>
      <c r="C14" s="381" t="s">
        <v>311</v>
      </c>
    </row>
    <row r="15" spans="1:7" ht="68.25" customHeight="1" x14ac:dyDescent="0.2">
      <c r="B15" s="422"/>
      <c r="C15" s="382" t="s">
        <v>321</v>
      </c>
    </row>
    <row r="16" spans="1:7" ht="66" customHeight="1" x14ac:dyDescent="0.2">
      <c r="B16" s="423"/>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43495</v>
      </c>
    </row>
    <row r="8" spans="1:5" ht="34.5" customHeight="1" x14ac:dyDescent="0.2">
      <c r="A8" s="99"/>
      <c r="B8" s="130">
        <v>2</v>
      </c>
      <c r="C8" s="102" t="s">
        <v>1</v>
      </c>
      <c r="D8" s="365" t="s">
        <v>94</v>
      </c>
    </row>
    <row r="9" spans="1:5" ht="34.5" customHeight="1" x14ac:dyDescent="0.2">
      <c r="A9" s="99"/>
      <c r="B9" s="130">
        <v>3</v>
      </c>
      <c r="C9" s="103" t="s">
        <v>125</v>
      </c>
      <c r="D9" s="104">
        <f>IF(ISBLANK(D8),"",VLOOKUP(D8,Info_County_Code,2))</f>
        <v>66</v>
      </c>
    </row>
    <row r="10" spans="1:5" ht="34.5" customHeight="1" x14ac:dyDescent="0.2">
      <c r="A10" s="99"/>
      <c r="B10" s="130">
        <v>4</v>
      </c>
      <c r="C10" s="102" t="s">
        <v>126</v>
      </c>
      <c r="D10" s="418" t="s">
        <v>322</v>
      </c>
    </row>
    <row r="11" spans="1:5" ht="34.5" customHeight="1" x14ac:dyDescent="0.2">
      <c r="A11" s="99"/>
      <c r="B11" s="130">
        <v>5</v>
      </c>
      <c r="C11" s="102" t="s">
        <v>127</v>
      </c>
      <c r="D11" s="365" t="s">
        <v>317</v>
      </c>
    </row>
    <row r="12" spans="1:5" ht="34.5" customHeight="1" x14ac:dyDescent="0.2">
      <c r="A12" s="99"/>
      <c r="B12" s="130">
        <v>6</v>
      </c>
      <c r="C12" s="102" t="s">
        <v>128</v>
      </c>
      <c r="D12" s="244">
        <v>91711</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323</v>
      </c>
    </row>
    <row r="15" spans="1:5" ht="34.5" customHeight="1" x14ac:dyDescent="0.2">
      <c r="A15" s="99"/>
      <c r="B15" s="130">
        <v>9</v>
      </c>
      <c r="C15" s="383" t="s">
        <v>193</v>
      </c>
      <c r="D15" s="419" t="s">
        <v>324</v>
      </c>
    </row>
    <row r="16" spans="1:5" ht="34.5" customHeight="1" x14ac:dyDescent="0.2">
      <c r="A16" s="99"/>
      <c r="B16" s="130">
        <v>10</v>
      </c>
      <c r="C16" s="383" t="s">
        <v>211</v>
      </c>
      <c r="D16" s="419" t="s">
        <v>325</v>
      </c>
    </row>
    <row r="17" spans="1:4" ht="34.5" customHeight="1" x14ac:dyDescent="0.2">
      <c r="A17" s="99"/>
      <c r="B17" s="130">
        <v>11</v>
      </c>
      <c r="C17" s="102" t="s">
        <v>194</v>
      </c>
      <c r="D17" s="420" t="s">
        <v>326</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55" zoomScaleNormal="55" zoomScaleSheetLayoutView="40" workbookViewId="0">
      <pane xSplit="3" ySplit="20" topLeftCell="D27" activePane="bottomRight" state="frozen"/>
      <selection pane="topRight" activeCell="D1" sqref="D1"/>
      <selection pane="bottomLeft" activeCell="A16" sqref="A16"/>
      <selection pane="bottomRight" activeCell="D17" sqref="D17"/>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Tri-City</v>
      </c>
      <c r="F7" s="360" t="s">
        <v>2</v>
      </c>
      <c r="G7" s="259">
        <f>IF(ISBLANK('1. Information'!D7),"",'1. Information'!D7)</f>
        <v>43495</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239256</v>
      </c>
      <c r="E15" s="260"/>
      <c r="F15" s="260"/>
      <c r="G15" s="90"/>
      <c r="H15" s="260"/>
      <c r="I15" s="260"/>
      <c r="J15" s="260"/>
      <c r="K15" s="260"/>
      <c r="L15" s="260"/>
      <c r="M15" s="260"/>
      <c r="N15" s="260"/>
    </row>
    <row r="16" spans="2:14" x14ac:dyDescent="0.25">
      <c r="B16" s="24">
        <v>2</v>
      </c>
      <c r="C16" s="332" t="s">
        <v>306</v>
      </c>
      <c r="D16" s="394">
        <v>3558621</v>
      </c>
      <c r="E16" s="260"/>
      <c r="F16" s="260"/>
      <c r="G16" s="90"/>
      <c r="H16" s="260"/>
      <c r="I16" s="260"/>
      <c r="J16" s="260"/>
      <c r="K16" s="260"/>
      <c r="L16" s="260"/>
      <c r="M16" s="260"/>
      <c r="N16" s="260"/>
    </row>
    <row r="17" spans="2:14" x14ac:dyDescent="0.25">
      <c r="B17" s="24">
        <v>3</v>
      </c>
      <c r="C17" s="332" t="s">
        <v>312</v>
      </c>
      <c r="D17" s="91">
        <f>D16+M22+M27+SUM('9. Adjustment (MHSA)'!F83:F112)</f>
        <v>3558621</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136175+51176</f>
        <v>187351</v>
      </c>
      <c r="E23" s="380">
        <v>23414</v>
      </c>
      <c r="F23" s="261">
        <v>16515</v>
      </c>
      <c r="G23" s="264">
        <v>5408</v>
      </c>
      <c r="H23" s="264">
        <v>6568</v>
      </c>
      <c r="I23" s="327"/>
      <c r="J23" s="334"/>
      <c r="K23" s="327"/>
      <c r="L23" s="327"/>
      <c r="M23" s="327"/>
      <c r="N23" s="333">
        <f>SUM(D23:M23)</f>
        <v>239256</v>
      </c>
    </row>
    <row r="24" spans="2:14" ht="24" customHeight="1" x14ac:dyDescent="0.25">
      <c r="B24" s="24">
        <v>6</v>
      </c>
      <c r="C24" s="266" t="s">
        <v>25</v>
      </c>
      <c r="D24" s="339">
        <f t="shared" ref="D24:L24" si="0">SUM(D22:D23)</f>
        <v>187351</v>
      </c>
      <c r="E24" s="339">
        <f t="shared" si="0"/>
        <v>23414</v>
      </c>
      <c r="F24" s="339">
        <f t="shared" si="0"/>
        <v>16515</v>
      </c>
      <c r="G24" s="339">
        <f t="shared" si="0"/>
        <v>5408</v>
      </c>
      <c r="H24" s="339">
        <f t="shared" si="0"/>
        <v>6568</v>
      </c>
      <c r="I24" s="339">
        <f t="shared" si="0"/>
        <v>0</v>
      </c>
      <c r="J24" s="339">
        <f t="shared" si="0"/>
        <v>0</v>
      </c>
      <c r="K24" s="339">
        <f t="shared" si="0"/>
        <v>0</v>
      </c>
      <c r="L24" s="339">
        <f t="shared" si="0"/>
        <v>0</v>
      </c>
      <c r="M24" s="339">
        <v>0</v>
      </c>
      <c r="N24" s="371">
        <f>SUM(D24:M24)</f>
        <v>239256</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4749115</v>
      </c>
      <c r="E30" s="264">
        <f>'4. PEI'!F21</f>
        <v>1836021</v>
      </c>
      <c r="F30" s="264">
        <f>'5. INN'!F22</f>
        <v>304376</v>
      </c>
      <c r="G30" s="264">
        <f>'6. WET'!F20</f>
        <v>272453</v>
      </c>
      <c r="H30" s="264">
        <f>'7. CFTN'!F21</f>
        <v>0</v>
      </c>
      <c r="I30" s="334"/>
      <c r="J30" s="264">
        <f>'8. WET RP, HP'!E14</f>
        <v>0</v>
      </c>
      <c r="K30" s="264">
        <f>'4. PEI'!F17</f>
        <v>0</v>
      </c>
      <c r="L30" s="264">
        <f>'8. WET RP, HP'!E15</f>
        <v>0</v>
      </c>
      <c r="M30" s="334"/>
      <c r="N30" s="264">
        <f t="shared" ref="N30:N35" si="1">SUM(D30:M30)</f>
        <v>7161965</v>
      </c>
    </row>
    <row r="31" spans="2:14" ht="24" customHeight="1" x14ac:dyDescent="0.25">
      <c r="B31" s="24">
        <v>9</v>
      </c>
      <c r="C31" s="262" t="s">
        <v>5</v>
      </c>
      <c r="D31" s="261">
        <f>'3. CSS'!G25</f>
        <v>3780232</v>
      </c>
      <c r="E31" s="261">
        <f>'4. PEI'!G21</f>
        <v>0</v>
      </c>
      <c r="F31" s="261">
        <f>'5. INN'!G22</f>
        <v>0</v>
      </c>
      <c r="G31" s="261">
        <f>'6. WET'!G20</f>
        <v>0</v>
      </c>
      <c r="H31" s="261">
        <f>'7. CFTN'!G21</f>
        <v>0</v>
      </c>
      <c r="I31" s="7"/>
      <c r="J31" s="261">
        <f>'8. WET RP, HP'!F14</f>
        <v>0</v>
      </c>
      <c r="K31" s="261">
        <f>'4. PEI'!G17</f>
        <v>0</v>
      </c>
      <c r="L31" s="261">
        <f>'8. WET RP, HP'!F15</f>
        <v>0</v>
      </c>
      <c r="M31" s="327"/>
      <c r="N31" s="264">
        <f t="shared" si="1"/>
        <v>3780232</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715322</v>
      </c>
      <c r="E33" s="261">
        <f>'4. PEI'!I21</f>
        <v>0</v>
      </c>
      <c r="F33" s="261">
        <f>'5. INN'!I22</f>
        <v>0</v>
      </c>
      <c r="G33" s="261">
        <f>'6. WET'!I20</f>
        <v>0</v>
      </c>
      <c r="H33" s="261">
        <f>'7. CFTN'!I21</f>
        <v>0</v>
      </c>
      <c r="I33" s="7"/>
      <c r="J33" s="261">
        <f>'8. WET RP, HP'!H14</f>
        <v>0</v>
      </c>
      <c r="K33" s="261">
        <f>'4. PEI'!I17</f>
        <v>0</v>
      </c>
      <c r="L33" s="261">
        <f>'8. WET RP, HP'!H15</f>
        <v>0</v>
      </c>
      <c r="M33" s="327"/>
      <c r="N33" s="264">
        <f t="shared" si="1"/>
        <v>715322</v>
      </c>
    </row>
    <row r="34" spans="2:14" ht="24" customHeight="1" x14ac:dyDescent="0.25">
      <c r="B34" s="24">
        <v>12</v>
      </c>
      <c r="C34" s="262" t="s">
        <v>15</v>
      </c>
      <c r="D34" s="261">
        <f>'3. CSS'!J25</f>
        <v>100837</v>
      </c>
      <c r="E34" s="261">
        <f>'4. PEI'!J21</f>
        <v>15</v>
      </c>
      <c r="F34" s="261">
        <f>'5. INN'!J22</f>
        <v>0</v>
      </c>
      <c r="G34" s="261">
        <f>'6. WET'!J20</f>
        <v>0</v>
      </c>
      <c r="H34" s="261">
        <f>'7. CFTN'!J21</f>
        <v>0</v>
      </c>
      <c r="I34" s="7"/>
      <c r="J34" s="261">
        <f>'8. WET RP, HP'!I14</f>
        <v>0</v>
      </c>
      <c r="K34" s="261">
        <f>'4. PEI'!J17</f>
        <v>0</v>
      </c>
      <c r="L34" s="261">
        <f>'8. WET RP, HP'!I15</f>
        <v>0</v>
      </c>
      <c r="M34" s="327"/>
      <c r="N34" s="264">
        <f t="shared" si="1"/>
        <v>100852</v>
      </c>
    </row>
    <row r="35" spans="2:14" ht="24" customHeight="1" x14ac:dyDescent="0.25">
      <c r="B35" s="24">
        <v>13</v>
      </c>
      <c r="C35" s="266" t="s">
        <v>25</v>
      </c>
      <c r="D35" s="267">
        <f>SUM(D30:D34)</f>
        <v>9345506</v>
      </c>
      <c r="E35" s="267">
        <f t="shared" ref="E35:L35" si="2">SUM(E30:E34)</f>
        <v>1836036</v>
      </c>
      <c r="F35" s="267">
        <f t="shared" si="2"/>
        <v>304376</v>
      </c>
      <c r="G35" s="267">
        <f t="shared" si="2"/>
        <v>272453</v>
      </c>
      <c r="H35" s="267">
        <f t="shared" si="2"/>
        <v>0</v>
      </c>
      <c r="I35" s="267">
        <f t="shared" si="2"/>
        <v>0</v>
      </c>
      <c r="J35" s="267">
        <f t="shared" si="2"/>
        <v>0</v>
      </c>
      <c r="K35" s="267">
        <f t="shared" si="2"/>
        <v>0</v>
      </c>
      <c r="L35" s="267">
        <f t="shared" si="2"/>
        <v>0</v>
      </c>
      <c r="M35" s="7"/>
      <c r="N35" s="339">
        <f t="shared" si="1"/>
        <v>11758371</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3070647</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topLeftCell="A10" zoomScale="70" zoomScaleNormal="70" zoomScaleSheetLayoutView="40" zoomScalePageLayoutView="70" workbookViewId="0">
      <selection activeCell="F24" sqref="F24"/>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29"/>
      <c r="C1" s="429"/>
      <c r="D1" s="429"/>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0" t="s">
        <v>1</v>
      </c>
      <c r="C7" s="430"/>
      <c r="D7" s="9" t="str">
        <f>IF(ISBLANK('1. Information'!D8),"",'1. Information'!D8)</f>
        <v>Tri-City</v>
      </c>
      <c r="E7" s="281"/>
      <c r="F7" s="279" t="s">
        <v>2</v>
      </c>
      <c r="G7" s="282">
        <f>IF(ISBLANK('1. Information'!D7),"",'1. Information'!D7)</f>
        <v>43495</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0" t="s">
        <v>30</v>
      </c>
      <c r="H12" s="438"/>
      <c r="I12" s="438"/>
      <c r="J12" s="441"/>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1" t="s">
        <v>7</v>
      </c>
      <c r="D14" s="431"/>
      <c r="E14" s="431"/>
      <c r="F14" s="367"/>
      <c r="G14" s="368"/>
      <c r="H14" s="353"/>
      <c r="I14" s="290"/>
      <c r="J14" s="290"/>
      <c r="K14" s="292">
        <f>SUM(F14:J14)</f>
        <v>0</v>
      </c>
      <c r="L14"/>
    </row>
    <row r="15" spans="1:12" ht="15" customHeight="1" x14ac:dyDescent="0.25">
      <c r="A15" s="281"/>
      <c r="B15" s="277">
        <v>2</v>
      </c>
      <c r="C15" s="431" t="s">
        <v>8</v>
      </c>
      <c r="D15" s="431"/>
      <c r="E15" s="431"/>
      <c r="F15" s="367"/>
      <c r="G15" s="290"/>
      <c r="H15" s="290"/>
      <c r="I15" s="290"/>
      <c r="J15" s="290"/>
      <c r="K15" s="292">
        <f t="shared" ref="K15:K23" si="0">SUM(F15:J15)</f>
        <v>0</v>
      </c>
      <c r="L15"/>
    </row>
    <row r="16" spans="1:12" x14ac:dyDescent="0.25">
      <c r="A16" s="281"/>
      <c r="B16" s="277">
        <v>3</v>
      </c>
      <c r="C16" s="431" t="s">
        <v>129</v>
      </c>
      <c r="D16" s="431"/>
      <c r="E16" s="431"/>
      <c r="F16" s="367">
        <f>2858346-501961-242439</f>
        <v>2113946</v>
      </c>
      <c r="G16" s="290">
        <v>242439</v>
      </c>
      <c r="H16" s="290"/>
      <c r="I16" s="290"/>
      <c r="J16" s="290"/>
      <c r="K16" s="292">
        <f t="shared" si="0"/>
        <v>2356385</v>
      </c>
      <c r="L16"/>
    </row>
    <row r="17" spans="1:12" x14ac:dyDescent="0.25">
      <c r="A17" s="281"/>
      <c r="B17" s="277">
        <v>4</v>
      </c>
      <c r="C17" s="445" t="s">
        <v>218</v>
      </c>
      <c r="D17" s="445"/>
      <c r="E17" s="445"/>
      <c r="F17" s="367"/>
      <c r="G17" s="290"/>
      <c r="H17" s="290"/>
      <c r="I17" s="290"/>
      <c r="J17" s="290"/>
      <c r="K17" s="292">
        <f t="shared" si="0"/>
        <v>0</v>
      </c>
      <c r="L17"/>
    </row>
    <row r="18" spans="1:12" x14ac:dyDescent="0.25">
      <c r="A18" s="281"/>
      <c r="B18" s="277">
        <v>5</v>
      </c>
      <c r="C18" s="445" t="s">
        <v>219</v>
      </c>
      <c r="D18" s="445"/>
      <c r="E18" s="445"/>
      <c r="F18" s="367"/>
      <c r="G18" s="294"/>
      <c r="H18" s="294"/>
      <c r="I18" s="294"/>
      <c r="J18" s="294"/>
      <c r="K18" s="292">
        <f t="shared" si="0"/>
        <v>0</v>
      </c>
      <c r="L18"/>
    </row>
    <row r="19" spans="1:12" x14ac:dyDescent="0.25">
      <c r="A19" s="281"/>
      <c r="B19" s="277">
        <v>6</v>
      </c>
      <c r="C19" s="431" t="s">
        <v>216</v>
      </c>
      <c r="D19" s="431"/>
      <c r="E19" s="431"/>
      <c r="F19" s="290"/>
      <c r="G19" s="294"/>
      <c r="H19" s="294"/>
      <c r="I19" s="294"/>
      <c r="J19" s="294"/>
      <c r="K19" s="293">
        <f t="shared" si="0"/>
        <v>0</v>
      </c>
      <c r="L19"/>
    </row>
    <row r="20" spans="1:12" x14ac:dyDescent="0.25">
      <c r="A20" s="283"/>
      <c r="B20" s="256">
        <v>7</v>
      </c>
      <c r="C20" s="442" t="s">
        <v>226</v>
      </c>
      <c r="D20" s="443"/>
      <c r="E20" s="444"/>
      <c r="F20" s="290"/>
      <c r="G20" s="293"/>
      <c r="H20" s="293"/>
      <c r="I20" s="293"/>
      <c r="J20" s="293"/>
      <c r="K20" s="293">
        <f t="shared" si="0"/>
        <v>0</v>
      </c>
      <c r="L20"/>
    </row>
    <row r="21" spans="1:12" x14ac:dyDescent="0.25">
      <c r="A21" s="283"/>
      <c r="B21" s="256">
        <v>8</v>
      </c>
      <c r="C21" s="442" t="s">
        <v>227</v>
      </c>
      <c r="D21" s="443"/>
      <c r="E21" s="444"/>
      <c r="F21" s="290"/>
      <c r="G21" s="293"/>
      <c r="H21" s="293"/>
      <c r="I21" s="293"/>
      <c r="J21" s="293"/>
      <c r="K21" s="293">
        <f t="shared" si="0"/>
        <v>0</v>
      </c>
      <c r="L21"/>
    </row>
    <row r="22" spans="1:12" x14ac:dyDescent="0.25">
      <c r="A22" s="283"/>
      <c r="B22" s="256">
        <v>9</v>
      </c>
      <c r="C22" s="442" t="s">
        <v>225</v>
      </c>
      <c r="D22" s="443"/>
      <c r="E22" s="444"/>
      <c r="F22" s="290"/>
      <c r="G22" s="293"/>
      <c r="H22" s="293"/>
      <c r="I22" s="293"/>
      <c r="J22" s="293"/>
      <c r="K22" s="293">
        <f t="shared" si="0"/>
        <v>0</v>
      </c>
      <c r="L22"/>
    </row>
    <row r="23" spans="1:12" x14ac:dyDescent="0.25">
      <c r="A23" s="281"/>
      <c r="B23" s="277">
        <v>10</v>
      </c>
      <c r="C23" s="431" t="s">
        <v>140</v>
      </c>
      <c r="D23" s="431"/>
      <c r="E23" s="431"/>
      <c r="F23" s="294">
        <f>SUM(G33:G132)</f>
        <v>2635169</v>
      </c>
      <c r="G23" s="293">
        <f>SUM(H33:H132)</f>
        <v>3537793</v>
      </c>
      <c r="H23" s="293">
        <f>SUM(I33:I132)</f>
        <v>0</v>
      </c>
      <c r="I23" s="293">
        <f>SUM(J33:J132)</f>
        <v>715322</v>
      </c>
      <c r="J23" s="293">
        <f>SUM(K33:K132)</f>
        <v>100837</v>
      </c>
      <c r="K23" s="293">
        <f t="shared" si="0"/>
        <v>6989121</v>
      </c>
      <c r="L23"/>
    </row>
    <row r="24" spans="1:12" ht="30.95" customHeight="1" x14ac:dyDescent="0.25">
      <c r="A24" s="281"/>
      <c r="B24" s="277">
        <v>11</v>
      </c>
      <c r="C24" s="432" t="s">
        <v>223</v>
      </c>
      <c r="D24" s="433"/>
      <c r="E24" s="434"/>
      <c r="F24" s="7">
        <f>SUM(F14:F16,F18:F23)</f>
        <v>4749115</v>
      </c>
      <c r="G24" s="7">
        <f>SUM(G14:G16,G18:G23)</f>
        <v>3780232</v>
      </c>
      <c r="H24" s="43">
        <f t="shared" ref="H24:J24" si="1">SUM(H14:H16,H18:H23)</f>
        <v>0</v>
      </c>
      <c r="I24" s="7">
        <f t="shared" si="1"/>
        <v>715322</v>
      </c>
      <c r="J24" s="7">
        <f t="shared" si="1"/>
        <v>100837</v>
      </c>
      <c r="K24" s="7">
        <f>SUM(K14:K16,K18:K23)</f>
        <v>9345506</v>
      </c>
      <c r="L24"/>
    </row>
    <row r="25" spans="1:12" s="325" customFormat="1" ht="30.95" customHeight="1" x14ac:dyDescent="0.25">
      <c r="A25" s="281"/>
      <c r="B25" s="277">
        <v>12</v>
      </c>
      <c r="C25" s="439" t="s">
        <v>283</v>
      </c>
      <c r="D25" s="439"/>
      <c r="E25" s="439"/>
      <c r="F25" s="7">
        <f>SUM(F14:F16,F18,F23)</f>
        <v>4749115</v>
      </c>
      <c r="G25" s="299">
        <f t="shared" ref="G25:J25" si="2">SUM(G14:G16,G18,G23)</f>
        <v>3780232</v>
      </c>
      <c r="H25" s="299">
        <f t="shared" si="2"/>
        <v>0</v>
      </c>
      <c r="I25" s="299">
        <f t="shared" si="2"/>
        <v>715322</v>
      </c>
      <c r="J25" s="7">
        <f t="shared" si="2"/>
        <v>100837</v>
      </c>
      <c r="K25" s="7">
        <f>SUM(K14:K16,K18,K23)</f>
        <v>9345506</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8" t="s">
        <v>166</v>
      </c>
      <c r="E31" s="438"/>
      <c r="F31" s="438"/>
      <c r="G31" s="344" t="s">
        <v>28</v>
      </c>
      <c r="H31" s="435" t="s">
        <v>30</v>
      </c>
      <c r="I31" s="436"/>
      <c r="J31" s="436"/>
      <c r="K31" s="437"/>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66</v>
      </c>
      <c r="D33" s="395" t="s">
        <v>329</v>
      </c>
      <c r="E33" s="395"/>
      <c r="F33" s="297" t="s">
        <v>102</v>
      </c>
      <c r="G33" s="291">
        <v>72922</v>
      </c>
      <c r="H33" s="291">
        <v>603651</v>
      </c>
      <c r="I33" s="291"/>
      <c r="J33" s="318">
        <v>435757</v>
      </c>
      <c r="K33" s="291">
        <v>82</v>
      </c>
      <c r="L33" s="293">
        <f>SUM(G33:K33)</f>
        <v>1112412</v>
      </c>
    </row>
    <row r="34" spans="1:12" s="359" customFormat="1" x14ac:dyDescent="0.25">
      <c r="A34" s="281"/>
      <c r="B34" s="295">
        <v>2</v>
      </c>
      <c r="C34" s="296">
        <f t="shared" si="3"/>
        <v>66</v>
      </c>
      <c r="D34" s="395" t="s">
        <v>330</v>
      </c>
      <c r="E34" s="395"/>
      <c r="F34" s="297" t="s">
        <v>102</v>
      </c>
      <c r="G34" s="291">
        <v>0</v>
      </c>
      <c r="H34" s="291">
        <f>1156439-242439</f>
        <v>914000</v>
      </c>
      <c r="I34" s="291"/>
      <c r="J34" s="318">
        <v>249389</v>
      </c>
      <c r="K34" s="291">
        <v>268</v>
      </c>
      <c r="L34" s="293">
        <f t="shared" ref="L34:L97" si="4">SUM(G34:K34)</f>
        <v>1163657</v>
      </c>
    </row>
    <row r="35" spans="1:12" s="359" customFormat="1" x14ac:dyDescent="0.25">
      <c r="A35" s="281"/>
      <c r="B35" s="295">
        <v>3</v>
      </c>
      <c r="C35" s="296">
        <f t="shared" si="3"/>
        <v>66</v>
      </c>
      <c r="D35" s="395" t="s">
        <v>331</v>
      </c>
      <c r="E35" s="395"/>
      <c r="F35" s="297" t="s">
        <v>102</v>
      </c>
      <c r="G35" s="291">
        <v>159330</v>
      </c>
      <c r="H35" s="291">
        <v>1784354</v>
      </c>
      <c r="I35" s="291"/>
      <c r="J35" s="318">
        <v>26565</v>
      </c>
      <c r="K35" s="291">
        <v>2227</v>
      </c>
      <c r="L35" s="293">
        <f t="shared" si="4"/>
        <v>1972476</v>
      </c>
    </row>
    <row r="36" spans="1:12" s="359" customFormat="1" x14ac:dyDescent="0.25">
      <c r="A36" s="281"/>
      <c r="B36" s="295">
        <v>4</v>
      </c>
      <c r="C36" s="296">
        <f t="shared" si="3"/>
        <v>66</v>
      </c>
      <c r="D36" s="395" t="s">
        <v>332</v>
      </c>
      <c r="E36" s="395"/>
      <c r="F36" s="297" t="s">
        <v>102</v>
      </c>
      <c r="G36" s="291">
        <v>139219</v>
      </c>
      <c r="H36" s="291">
        <v>151577</v>
      </c>
      <c r="I36" s="291"/>
      <c r="J36" s="318">
        <v>2922</v>
      </c>
      <c r="K36" s="291">
        <v>197</v>
      </c>
      <c r="L36" s="293">
        <f t="shared" si="4"/>
        <v>293915</v>
      </c>
    </row>
    <row r="37" spans="1:12" s="359" customFormat="1" x14ac:dyDescent="0.25">
      <c r="A37" s="281"/>
      <c r="B37" s="295">
        <v>5</v>
      </c>
      <c r="C37" s="296">
        <f t="shared" si="3"/>
        <v>66</v>
      </c>
      <c r="D37" s="395" t="s">
        <v>333</v>
      </c>
      <c r="E37" s="395"/>
      <c r="F37" s="297" t="s">
        <v>103</v>
      </c>
      <c r="G37" s="291">
        <v>426433</v>
      </c>
      <c r="H37" s="291"/>
      <c r="I37" s="291"/>
      <c r="J37" s="318"/>
      <c r="K37" s="291"/>
      <c r="L37" s="293">
        <f t="shared" si="4"/>
        <v>426433</v>
      </c>
    </row>
    <row r="38" spans="1:12" s="359" customFormat="1" x14ac:dyDescent="0.25">
      <c r="A38" s="281"/>
      <c r="B38" s="295">
        <v>6</v>
      </c>
      <c r="C38" s="296">
        <f t="shared" si="3"/>
        <v>66</v>
      </c>
      <c r="D38" s="395" t="s">
        <v>334</v>
      </c>
      <c r="E38" s="395"/>
      <c r="F38" s="297" t="s">
        <v>103</v>
      </c>
      <c r="G38" s="291">
        <v>1155195</v>
      </c>
      <c r="H38" s="291"/>
      <c r="I38" s="291"/>
      <c r="J38" s="318"/>
      <c r="K38" s="291"/>
      <c r="L38" s="293">
        <f t="shared" si="4"/>
        <v>1155195</v>
      </c>
    </row>
    <row r="39" spans="1:12" s="359" customFormat="1" x14ac:dyDescent="0.25">
      <c r="A39" s="281"/>
      <c r="B39" s="295">
        <v>7</v>
      </c>
      <c r="C39" s="296">
        <f t="shared" si="3"/>
        <v>66</v>
      </c>
      <c r="D39" s="395" t="s">
        <v>335</v>
      </c>
      <c r="E39" s="395"/>
      <c r="F39" s="297" t="s">
        <v>103</v>
      </c>
      <c r="G39" s="291">
        <v>533203</v>
      </c>
      <c r="H39" s="291">
        <v>21725</v>
      </c>
      <c r="I39" s="291"/>
      <c r="J39" s="318">
        <v>464</v>
      </c>
      <c r="K39" s="291"/>
      <c r="L39" s="293">
        <f t="shared" si="4"/>
        <v>555392</v>
      </c>
    </row>
    <row r="40" spans="1:12" s="359" customFormat="1" x14ac:dyDescent="0.25">
      <c r="A40" s="281"/>
      <c r="B40" s="295">
        <v>8</v>
      </c>
      <c r="C40" s="296">
        <f t="shared" si="3"/>
        <v>66</v>
      </c>
      <c r="D40" s="395" t="s">
        <v>336</v>
      </c>
      <c r="E40" s="395"/>
      <c r="F40" s="297" t="s">
        <v>103</v>
      </c>
      <c r="G40" s="291">
        <v>52621</v>
      </c>
      <c r="H40" s="291">
        <v>62486</v>
      </c>
      <c r="I40" s="291"/>
      <c r="J40" s="318">
        <v>225</v>
      </c>
      <c r="K40" s="291">
        <v>565</v>
      </c>
      <c r="L40" s="293">
        <f t="shared" si="4"/>
        <v>115897</v>
      </c>
    </row>
    <row r="41" spans="1:12" s="359" customFormat="1" x14ac:dyDescent="0.25">
      <c r="A41" s="281"/>
      <c r="B41" s="295">
        <v>9</v>
      </c>
      <c r="C41" s="296">
        <f t="shared" si="3"/>
        <v>66</v>
      </c>
      <c r="D41" s="395" t="s">
        <v>337</v>
      </c>
      <c r="E41" s="395"/>
      <c r="F41" s="297" t="s">
        <v>103</v>
      </c>
      <c r="G41" s="291">
        <v>96246</v>
      </c>
      <c r="H41" s="291"/>
      <c r="I41" s="291"/>
      <c r="J41" s="318"/>
      <c r="K41" s="291">
        <v>97498</v>
      </c>
      <c r="L41" s="293">
        <f t="shared" si="4"/>
        <v>193744</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17" scale="62" fitToHeight="2"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topLeftCell="E13" zoomScale="55" zoomScaleNormal="55" zoomScaleSheetLayoutView="40" zoomScalePageLayoutView="80" workbookViewId="0">
      <selection activeCell="R36" sqref="R36"/>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0" t="s">
        <v>1</v>
      </c>
      <c r="C7" s="441"/>
      <c r="D7" s="9" t="str">
        <f>IF(ISBLANK('1. Information'!D8),"",'1. Information'!D8)</f>
        <v>Tri-City</v>
      </c>
      <c r="F7" s="94" t="s">
        <v>2</v>
      </c>
      <c r="G7" s="109">
        <f>IF(ISBLANK('1. Information'!D7),"",'1. Information'!D7)</f>
        <v>43495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0" t="s">
        <v>30</v>
      </c>
      <c r="H12" s="438"/>
      <c r="I12" s="438"/>
      <c r="J12" s="441"/>
      <c r="K12" s="303"/>
      <c r="L12"/>
      <c r="M12"/>
      <c r="N12"/>
      <c r="O12"/>
      <c r="P12"/>
      <c r="Q12"/>
      <c r="AL12" s="108"/>
      <c r="AM12" s="108"/>
      <c r="AN12" s="108"/>
    </row>
    <row r="13" spans="2:40" ht="47.25" customHeight="1" x14ac:dyDescent="0.25">
      <c r="C13" s="449"/>
      <c r="D13" s="449"/>
      <c r="E13" s="449"/>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5" t="s">
        <v>3</v>
      </c>
      <c r="D14" s="445"/>
      <c r="E14" s="442"/>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5" t="s">
        <v>133</v>
      </c>
      <c r="D15" s="445"/>
      <c r="E15" s="442"/>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0" t="s">
        <v>149</v>
      </c>
      <c r="D16" s="450"/>
      <c r="E16" s="451"/>
      <c r="F16" s="388">
        <v>537249</v>
      </c>
      <c r="G16" s="387"/>
      <c r="H16" s="387"/>
      <c r="I16" s="387"/>
      <c r="J16" s="387"/>
      <c r="K16" s="292">
        <f t="shared" si="0"/>
        <v>537249</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5" t="s">
        <v>228</v>
      </c>
      <c r="D17" s="445"/>
      <c r="E17" s="442"/>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5" t="s">
        <v>215</v>
      </c>
      <c r="D18" s="445"/>
      <c r="E18" s="442"/>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5" t="s">
        <v>217</v>
      </c>
      <c r="D19" s="445"/>
      <c r="E19" s="442"/>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1" t="s">
        <v>150</v>
      </c>
      <c r="D20" s="431"/>
      <c r="E20" s="431"/>
      <c r="F20" s="315">
        <f>SUMIF($G$36:$G$135,"Combined Summary",L$36:L$135) + SUMIF($F$36:$F$135,"Standalone",L$36:L$135)</f>
        <v>1298772</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15</v>
      </c>
      <c r="K20" s="293">
        <f t="shared" si="0"/>
        <v>1298787</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5" t="s">
        <v>229</v>
      </c>
      <c r="D21" s="455"/>
      <c r="E21" s="455"/>
      <c r="F21" s="8">
        <f>SUM(F14:F16,F19:F20)</f>
        <v>1836021</v>
      </c>
      <c r="G21" s="8">
        <f t="shared" ref="G21:K21" si="1">SUM(G14:G16,G19:G20)</f>
        <v>0</v>
      </c>
      <c r="H21" s="8">
        <f t="shared" si="1"/>
        <v>0</v>
      </c>
      <c r="I21" s="8">
        <f t="shared" si="1"/>
        <v>0</v>
      </c>
      <c r="J21" s="8">
        <f t="shared" si="1"/>
        <v>15</v>
      </c>
      <c r="K21" s="8">
        <f t="shared" si="1"/>
        <v>1836036</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4" t="s">
        <v>234</v>
      </c>
      <c r="G26" s="452" t="s">
        <v>233</v>
      </c>
      <c r="H26" s="110"/>
      <c r="I26" s="110"/>
      <c r="J26" s="110"/>
      <c r="K26" s="110"/>
      <c r="L26" s="110"/>
      <c r="M26" s="110"/>
      <c r="N26" s="110"/>
      <c r="O26" s="110"/>
      <c r="P26" s="110"/>
      <c r="Q26" s="110"/>
    </row>
    <row r="27" spans="2:40" ht="15" customHeight="1" x14ac:dyDescent="0.25">
      <c r="B27" s="99"/>
      <c r="C27" s="99"/>
      <c r="D27" s="99"/>
      <c r="E27" s="99"/>
      <c r="F27" s="454"/>
      <c r="G27" s="452"/>
      <c r="H27" s="110"/>
      <c r="I27" s="110"/>
      <c r="J27" s="110"/>
      <c r="K27" s="110"/>
      <c r="L27" s="110"/>
      <c r="M27" s="110"/>
      <c r="N27" s="110"/>
      <c r="O27" s="110"/>
      <c r="P27" s="110"/>
      <c r="Q27" s="110"/>
    </row>
    <row r="28" spans="2:40" x14ac:dyDescent="0.25">
      <c r="B28" s="99"/>
      <c r="C28" s="99"/>
      <c r="D28" s="99"/>
      <c r="E28" s="99"/>
      <c r="F28" s="454"/>
      <c r="G28" s="453"/>
      <c r="H28" s="110"/>
      <c r="I28" s="110"/>
      <c r="J28" s="110"/>
      <c r="K28" s="110"/>
      <c r="L28" s="110"/>
      <c r="M28" s="110"/>
      <c r="N28" s="110"/>
      <c r="O28" s="110"/>
      <c r="P28" s="110"/>
      <c r="Q28" s="110"/>
    </row>
    <row r="29" spans="2:40" ht="51.75" customHeight="1" x14ac:dyDescent="0.25">
      <c r="B29" s="130">
        <v>1</v>
      </c>
      <c r="C29" s="446" t="s">
        <v>245</v>
      </c>
      <c r="D29" s="447"/>
      <c r="E29" s="448"/>
      <c r="F29" s="10">
        <f>IF(F21=0,"",((SUMPRODUCT($K$36:$K$135,$L$36:$L$135)+(F19*G29))/$F$21))</f>
        <v>0.37473819743891823</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8" t="s">
        <v>165</v>
      </c>
      <c r="E34" s="438"/>
      <c r="F34" s="438"/>
      <c r="G34" s="438"/>
      <c r="H34" s="438"/>
      <c r="I34" s="438"/>
      <c r="J34" s="438"/>
      <c r="K34" s="438"/>
      <c r="L34" s="340" t="s">
        <v>28</v>
      </c>
      <c r="M34" s="440" t="s">
        <v>30</v>
      </c>
      <c r="N34" s="438"/>
      <c r="O34" s="438"/>
      <c r="P34" s="441"/>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66</v>
      </c>
      <c r="D36" s="395" t="s">
        <v>338</v>
      </c>
      <c r="E36" s="395"/>
      <c r="F36" s="416" t="s">
        <v>144</v>
      </c>
      <c r="G36" s="417" t="s">
        <v>230</v>
      </c>
      <c r="H36" s="125"/>
      <c r="I36" s="134"/>
      <c r="J36" s="134"/>
      <c r="K36" s="350">
        <f>IF(OR(G36="Combined Summary",F36="Standalone"),(SUMPRODUCT(--(D$36:D$135=D36),I$36:I$135,J$36:J$135)),"")</f>
        <v>1</v>
      </c>
      <c r="L36" s="291">
        <f>33385-15</f>
        <v>33370</v>
      </c>
      <c r="M36" s="352"/>
      <c r="N36" s="116"/>
      <c r="O36" s="116"/>
      <c r="P36" s="116">
        <v>15</v>
      </c>
      <c r="Q36" s="351">
        <f>SUM(L36:P36)</f>
        <v>33385</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66</v>
      </c>
      <c r="D37" s="395" t="s">
        <v>338</v>
      </c>
      <c r="E37" s="395"/>
      <c r="F37" s="416" t="s">
        <v>144</v>
      </c>
      <c r="G37" s="417" t="s">
        <v>136</v>
      </c>
      <c r="H37" s="416" t="s">
        <v>339</v>
      </c>
      <c r="I37" s="134">
        <v>0.5</v>
      </c>
      <c r="J37" s="134">
        <v>1</v>
      </c>
      <c r="K37" s="350" t="str">
        <f t="shared" ref="K37:K100" si="3">IF(OR(G37="Combined Summary",F37="Standalone"),(SUMPRODUCT(--(D$36:D$135=D37),I$36:I$135,J$36:J$135)),"")</f>
        <v/>
      </c>
      <c r="L37" s="291"/>
      <c r="M37" s="352"/>
      <c r="N37" s="116"/>
      <c r="O37" s="116"/>
      <c r="P37" s="116"/>
      <c r="Q37" s="351">
        <f t="shared" ref="Q37:Q100" si="4">SUM(L37:P37)</f>
        <v>0</v>
      </c>
      <c r="R37" s="409" t="str">
        <f t="shared" ref="R37:R100" si="5">IF(OR(G37="Combined Summary",F37="Standalone"),(SUMIF(D$36:D$135,D37,I$36:I$135)),"")</f>
        <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66</v>
      </c>
      <c r="D38" s="395" t="s">
        <v>338</v>
      </c>
      <c r="E38" s="395"/>
      <c r="F38" s="416" t="s">
        <v>144</v>
      </c>
      <c r="G38" s="417" t="s">
        <v>137</v>
      </c>
      <c r="H38" s="416" t="s">
        <v>340</v>
      </c>
      <c r="I38" s="134">
        <v>0.5</v>
      </c>
      <c r="J38" s="134">
        <v>1</v>
      </c>
      <c r="K38" s="350" t="str">
        <f t="shared" si="3"/>
        <v/>
      </c>
      <c r="L38" s="291"/>
      <c r="M38" s="352"/>
      <c r="N38" s="116"/>
      <c r="O38" s="116"/>
      <c r="P38" s="116"/>
      <c r="Q38" s="351">
        <f t="shared" si="4"/>
        <v>0</v>
      </c>
      <c r="R38" s="409" t="str">
        <f t="shared" si="5"/>
        <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t="str">
        <f t="shared" si="2"/>
        <v/>
      </c>
      <c r="D39" s="395"/>
      <c r="E39" s="395"/>
      <c r="F39" s="125"/>
      <c r="G39" s="107"/>
      <c r="H39" s="125"/>
      <c r="I39" s="134"/>
      <c r="J39" s="134"/>
      <c r="K39" s="350" t="str">
        <f t="shared" si="3"/>
        <v/>
      </c>
      <c r="L39" s="291"/>
      <c r="M39" s="352"/>
      <c r="N39" s="116"/>
      <c r="O39" s="116"/>
      <c r="P39" s="116"/>
      <c r="Q39" s="351">
        <f t="shared" si="4"/>
        <v>0</v>
      </c>
      <c r="R39" s="409" t="str">
        <f t="shared" si="5"/>
        <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t="str">
        <f t="shared" si="2"/>
        <v/>
      </c>
      <c r="D40" s="395"/>
      <c r="E40" s="395"/>
      <c r="F40" s="125"/>
      <c r="G40" s="107"/>
      <c r="H40" s="125"/>
      <c r="I40" s="134"/>
      <c r="J40" s="134"/>
      <c r="K40" s="350" t="str">
        <f t="shared" si="3"/>
        <v/>
      </c>
      <c r="L40" s="291"/>
      <c r="M40" s="352"/>
      <c r="N40" s="116"/>
      <c r="O40" s="116"/>
      <c r="P40" s="116"/>
      <c r="Q40" s="351">
        <f t="shared" si="4"/>
        <v>0</v>
      </c>
      <c r="R40" s="409" t="str">
        <f t="shared" si="5"/>
        <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66</v>
      </c>
      <c r="D41" s="395" t="s">
        <v>341</v>
      </c>
      <c r="E41" s="395"/>
      <c r="F41" s="125" t="s">
        <v>144</v>
      </c>
      <c r="G41" s="107" t="s">
        <v>230</v>
      </c>
      <c r="H41" s="125"/>
      <c r="I41" s="134"/>
      <c r="J41" s="134"/>
      <c r="K41" s="350">
        <f t="shared" si="3"/>
        <v>1</v>
      </c>
      <c r="L41" s="291">
        <v>124452</v>
      </c>
      <c r="M41" s="352"/>
      <c r="N41" s="116"/>
      <c r="O41" s="116"/>
      <c r="P41" s="116"/>
      <c r="Q41" s="351">
        <f t="shared" si="4"/>
        <v>124452</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66</v>
      </c>
      <c r="D42" s="395" t="s">
        <v>341</v>
      </c>
      <c r="E42" s="395"/>
      <c r="F42" s="125" t="s">
        <v>144</v>
      </c>
      <c r="G42" s="107" t="s">
        <v>136</v>
      </c>
      <c r="H42" s="416" t="s">
        <v>339</v>
      </c>
      <c r="I42" s="134">
        <v>0.5</v>
      </c>
      <c r="J42" s="134">
        <v>1</v>
      </c>
      <c r="K42" s="350" t="str">
        <f t="shared" si="3"/>
        <v/>
      </c>
      <c r="L42" s="291"/>
      <c r="M42" s="352"/>
      <c r="N42" s="116"/>
      <c r="O42" s="116"/>
      <c r="P42" s="116"/>
      <c r="Q42" s="351">
        <f t="shared" si="4"/>
        <v>0</v>
      </c>
      <c r="R42" s="409" t="str">
        <f t="shared" si="5"/>
        <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66</v>
      </c>
      <c r="D43" s="395" t="s">
        <v>341</v>
      </c>
      <c r="E43" s="395"/>
      <c r="F43" s="125" t="s">
        <v>144</v>
      </c>
      <c r="G43" s="107" t="s">
        <v>137</v>
      </c>
      <c r="H43" s="416" t="s">
        <v>342</v>
      </c>
      <c r="I43" s="134">
        <v>0.5</v>
      </c>
      <c r="J43" s="134">
        <v>1</v>
      </c>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 t="shared" si="2"/>
        <v>66</v>
      </c>
      <c r="D46" s="395" t="s">
        <v>343</v>
      </c>
      <c r="E46" s="395"/>
      <c r="F46" s="125" t="s">
        <v>144</v>
      </c>
      <c r="G46" s="107" t="s">
        <v>230</v>
      </c>
      <c r="H46" s="125"/>
      <c r="I46" s="134"/>
      <c r="J46" s="134"/>
      <c r="K46" s="350">
        <f t="shared" si="3"/>
        <v>0</v>
      </c>
      <c r="L46" s="291">
        <v>124056</v>
      </c>
      <c r="M46" s="352"/>
      <c r="N46" s="116"/>
      <c r="O46" s="116"/>
      <c r="P46" s="116"/>
      <c r="Q46" s="351">
        <f t="shared" si="4"/>
        <v>124056</v>
      </c>
      <c r="R46" s="409">
        <f t="shared" si="5"/>
        <v>1</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 t="shared" si="2"/>
        <v>66</v>
      </c>
      <c r="D47" s="395" t="s">
        <v>343</v>
      </c>
      <c r="E47" s="395"/>
      <c r="F47" s="125" t="s">
        <v>144</v>
      </c>
      <c r="G47" s="107" t="s">
        <v>136</v>
      </c>
      <c r="H47" s="416" t="s">
        <v>342</v>
      </c>
      <c r="I47" s="134">
        <v>0.25</v>
      </c>
      <c r="J47" s="134">
        <v>0</v>
      </c>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f t="shared" si="2"/>
        <v>66</v>
      </c>
      <c r="D48" s="395" t="s">
        <v>343</v>
      </c>
      <c r="E48" s="395"/>
      <c r="F48" s="125" t="s">
        <v>144</v>
      </c>
      <c r="G48" s="107" t="s">
        <v>137</v>
      </c>
      <c r="H48" s="416" t="s">
        <v>342</v>
      </c>
      <c r="I48" s="134">
        <v>0.25</v>
      </c>
      <c r="J48" s="134">
        <v>0</v>
      </c>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f t="shared" si="2"/>
        <v>66</v>
      </c>
      <c r="D49" s="395" t="s">
        <v>343</v>
      </c>
      <c r="E49" s="395"/>
      <c r="F49" s="125" t="s">
        <v>144</v>
      </c>
      <c r="G49" s="107" t="s">
        <v>145</v>
      </c>
      <c r="H49" s="125"/>
      <c r="I49" s="134">
        <v>0.25</v>
      </c>
      <c r="J49" s="134">
        <v>0</v>
      </c>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f t="shared" si="2"/>
        <v>66</v>
      </c>
      <c r="D50" s="395" t="s">
        <v>343</v>
      </c>
      <c r="E50" s="395"/>
      <c r="F50" s="416" t="s">
        <v>144</v>
      </c>
      <c r="G50" s="107" t="s">
        <v>132</v>
      </c>
      <c r="H50" s="125"/>
      <c r="I50" s="134">
        <v>0.25</v>
      </c>
      <c r="J50" s="134">
        <v>0</v>
      </c>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f t="shared" si="2"/>
        <v>66</v>
      </c>
      <c r="D53" s="395" t="s">
        <v>344</v>
      </c>
      <c r="E53" s="395"/>
      <c r="F53" s="125" t="s">
        <v>144</v>
      </c>
      <c r="G53" s="107" t="s">
        <v>230</v>
      </c>
      <c r="H53" s="125"/>
      <c r="I53" s="134"/>
      <c r="J53" s="134">
        <v>0.35</v>
      </c>
      <c r="K53" s="350">
        <f t="shared" si="3"/>
        <v>0.35</v>
      </c>
      <c r="L53" s="291">
        <v>142518</v>
      </c>
      <c r="M53" s="352"/>
      <c r="N53" s="116"/>
      <c r="O53" s="116"/>
      <c r="P53" s="116"/>
      <c r="Q53" s="351">
        <f t="shared" si="4"/>
        <v>142518</v>
      </c>
      <c r="R53" s="409">
        <f t="shared" si="5"/>
        <v>1</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f t="shared" si="2"/>
        <v>66</v>
      </c>
      <c r="D54" s="395" t="s">
        <v>344</v>
      </c>
      <c r="E54" s="395"/>
      <c r="F54" s="125" t="s">
        <v>144</v>
      </c>
      <c r="G54" s="107" t="s">
        <v>136</v>
      </c>
      <c r="H54" s="416" t="s">
        <v>345</v>
      </c>
      <c r="I54" s="134">
        <v>0.5</v>
      </c>
      <c r="J54" s="134">
        <v>0.35</v>
      </c>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f t="shared" si="2"/>
        <v>66</v>
      </c>
      <c r="D55" s="395" t="s">
        <v>344</v>
      </c>
      <c r="E55" s="395"/>
      <c r="F55" s="125" t="s">
        <v>144</v>
      </c>
      <c r="G55" s="107" t="s">
        <v>132</v>
      </c>
      <c r="H55" s="416" t="s">
        <v>346</v>
      </c>
      <c r="I55" s="134">
        <v>0.5</v>
      </c>
      <c r="J55" s="134">
        <v>0.35</v>
      </c>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f t="shared" si="2"/>
        <v>66</v>
      </c>
      <c r="D58" s="395" t="s">
        <v>347</v>
      </c>
      <c r="E58" s="395"/>
      <c r="F58" s="125" t="s">
        <v>144</v>
      </c>
      <c r="G58" s="107" t="s">
        <v>230</v>
      </c>
      <c r="H58" s="125"/>
      <c r="I58" s="134"/>
      <c r="J58" s="134">
        <v>1</v>
      </c>
      <c r="K58" s="350">
        <f t="shared" si="3"/>
        <v>1</v>
      </c>
      <c r="L58" s="291">
        <v>33617</v>
      </c>
      <c r="M58" s="352"/>
      <c r="N58" s="116"/>
      <c r="O58" s="116"/>
      <c r="P58" s="116"/>
      <c r="Q58" s="351">
        <f t="shared" si="4"/>
        <v>33617</v>
      </c>
      <c r="R58" s="409">
        <f t="shared" si="5"/>
        <v>1</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f t="shared" si="2"/>
        <v>66</v>
      </c>
      <c r="D59" s="395" t="s">
        <v>347</v>
      </c>
      <c r="E59" s="395"/>
      <c r="F59" s="125" t="s">
        <v>144</v>
      </c>
      <c r="G59" s="107" t="s">
        <v>145</v>
      </c>
      <c r="H59" s="125"/>
      <c r="I59" s="134">
        <v>0.5</v>
      </c>
      <c r="J59" s="134">
        <v>1</v>
      </c>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f t="shared" si="2"/>
        <v>66</v>
      </c>
      <c r="D60" s="395" t="s">
        <v>347</v>
      </c>
      <c r="E60" s="395"/>
      <c r="F60" s="125" t="s">
        <v>144</v>
      </c>
      <c r="G60" s="107" t="s">
        <v>132</v>
      </c>
      <c r="H60" s="125"/>
      <c r="I60" s="134">
        <v>0.5</v>
      </c>
      <c r="J60" s="134">
        <v>1</v>
      </c>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f t="shared" si="2"/>
        <v>66</v>
      </c>
      <c r="D63" s="395" t="s">
        <v>348</v>
      </c>
      <c r="E63" s="395"/>
      <c r="F63" s="125" t="s">
        <v>144</v>
      </c>
      <c r="G63" s="107" t="s">
        <v>230</v>
      </c>
      <c r="H63" s="125"/>
      <c r="I63" s="134"/>
      <c r="J63" s="134">
        <v>0.6</v>
      </c>
      <c r="K63" s="350">
        <f t="shared" si="3"/>
        <v>0.6</v>
      </c>
      <c r="L63" s="291">
        <v>609765</v>
      </c>
      <c r="M63" s="352"/>
      <c r="N63" s="116"/>
      <c r="O63" s="116"/>
      <c r="P63" s="116"/>
      <c r="Q63" s="351">
        <f t="shared" si="4"/>
        <v>609765</v>
      </c>
      <c r="R63" s="409">
        <f t="shared" si="5"/>
        <v>1</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f t="shared" si="2"/>
        <v>66</v>
      </c>
      <c r="D64" s="395" t="s">
        <v>348</v>
      </c>
      <c r="E64" s="395"/>
      <c r="F64" s="125" t="s">
        <v>144</v>
      </c>
      <c r="G64" s="107" t="s">
        <v>136</v>
      </c>
      <c r="H64" s="416" t="s">
        <v>349</v>
      </c>
      <c r="I64" s="134">
        <v>0.25</v>
      </c>
      <c r="J64" s="134">
        <v>0.6</v>
      </c>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f t="shared" si="2"/>
        <v>66</v>
      </c>
      <c r="D65" s="395" t="s">
        <v>348</v>
      </c>
      <c r="E65" s="395"/>
      <c r="F65" s="125" t="s">
        <v>144</v>
      </c>
      <c r="G65" s="107" t="s">
        <v>145</v>
      </c>
      <c r="H65" s="125"/>
      <c r="I65" s="134">
        <v>0.25</v>
      </c>
      <c r="J65" s="134">
        <v>0.6</v>
      </c>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f t="shared" si="2"/>
        <v>66</v>
      </c>
      <c r="D66" s="395" t="s">
        <v>348</v>
      </c>
      <c r="E66" s="395"/>
      <c r="F66" s="125" t="s">
        <v>144</v>
      </c>
      <c r="G66" s="107" t="s">
        <v>146</v>
      </c>
      <c r="H66" s="125"/>
      <c r="I66" s="134">
        <v>0.25</v>
      </c>
      <c r="J66" s="134">
        <v>0.6</v>
      </c>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f t="shared" si="2"/>
        <v>66</v>
      </c>
      <c r="D67" s="395" t="s">
        <v>348</v>
      </c>
      <c r="E67" s="395"/>
      <c r="F67" s="125" t="s">
        <v>144</v>
      </c>
      <c r="G67" s="107" t="s">
        <v>147</v>
      </c>
      <c r="H67" s="125"/>
      <c r="I67" s="134">
        <v>0.25</v>
      </c>
      <c r="J67" s="134">
        <v>0.6</v>
      </c>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f t="shared" si="7"/>
        <v>66</v>
      </c>
      <c r="D70" s="395" t="s">
        <v>350</v>
      </c>
      <c r="E70" s="395"/>
      <c r="F70" s="125" t="s">
        <v>144</v>
      </c>
      <c r="G70" s="107" t="s">
        <v>230</v>
      </c>
      <c r="H70" s="125"/>
      <c r="I70" s="134"/>
      <c r="J70" s="134">
        <v>0.35</v>
      </c>
      <c r="K70" s="350">
        <f t="shared" si="3"/>
        <v>0.35</v>
      </c>
      <c r="L70" s="291">
        <v>230994</v>
      </c>
      <c r="M70" s="352"/>
      <c r="N70" s="116"/>
      <c r="O70" s="116"/>
      <c r="P70" s="116"/>
      <c r="Q70" s="351">
        <f t="shared" si="4"/>
        <v>230994</v>
      </c>
      <c r="R70" s="409">
        <f t="shared" si="5"/>
        <v>1</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f t="shared" si="7"/>
        <v>66</v>
      </c>
      <c r="D71" s="395" t="s">
        <v>350</v>
      </c>
      <c r="E71" s="395"/>
      <c r="F71" s="125" t="s">
        <v>144</v>
      </c>
      <c r="G71" s="107" t="s">
        <v>137</v>
      </c>
      <c r="H71" s="416" t="s">
        <v>351</v>
      </c>
      <c r="I71" s="134">
        <v>0.5</v>
      </c>
      <c r="J71" s="134">
        <v>0.35</v>
      </c>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f t="shared" si="7"/>
        <v>66</v>
      </c>
      <c r="D72" s="395" t="s">
        <v>350</v>
      </c>
      <c r="E72" s="395"/>
      <c r="F72" s="125" t="s">
        <v>144</v>
      </c>
      <c r="G72" s="107" t="s">
        <v>132</v>
      </c>
      <c r="H72" s="416" t="s">
        <v>352</v>
      </c>
      <c r="I72" s="134">
        <v>0.5</v>
      </c>
      <c r="J72" s="134">
        <v>0.35</v>
      </c>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702" bottom="0.75" header="0.3" footer="0.3"/>
  <pageSetup paperSize="17" scale="49" fitToHeight="2"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45"/>
  <sheetViews>
    <sheetView showGridLines="0" topLeftCell="E7" zoomScale="70" zoomScaleNormal="70" zoomScaleSheetLayoutView="40" workbookViewId="0">
      <selection activeCell="K31" sqref="K31"/>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7"/>
      <c r="C1" s="457"/>
      <c r="D1" s="457"/>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0" t="s">
        <v>1</v>
      </c>
      <c r="C7" s="430"/>
      <c r="D7" s="9" t="str">
        <f>IF(ISBLANK('1. Information'!D8),"",'1. Information'!D8)</f>
        <v>Tri-City</v>
      </c>
      <c r="F7" s="94" t="s">
        <v>2</v>
      </c>
      <c r="G7" s="109">
        <f>IF(ISBLANK('1. Information'!D7),"",'1. Information'!D7)</f>
        <v>43495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8" t="s">
        <v>30</v>
      </c>
      <c r="H12" s="438"/>
      <c r="I12" s="438"/>
      <c r="J12" s="441"/>
      <c r="K12" s="308"/>
      <c r="L12"/>
      <c r="M12"/>
      <c r="N12"/>
      <c r="O12" s="108"/>
      <c r="P12" s="108"/>
    </row>
    <row r="13" spans="2:16" ht="65.25" customHeight="1" x14ac:dyDescent="0.25">
      <c r="B13" s="108"/>
      <c r="C13" s="459"/>
      <c r="D13" s="459"/>
      <c r="E13" s="459"/>
      <c r="F13" s="30" t="s">
        <v>300</v>
      </c>
      <c r="G13" s="44" t="s">
        <v>5</v>
      </c>
      <c r="H13" s="27" t="s">
        <v>6</v>
      </c>
      <c r="I13" s="27" t="s">
        <v>31</v>
      </c>
      <c r="J13" s="27" t="s">
        <v>15</v>
      </c>
      <c r="K13" s="306" t="s">
        <v>278</v>
      </c>
      <c r="L13"/>
      <c r="M13"/>
      <c r="N13"/>
      <c r="O13" s="108"/>
      <c r="P13" s="108"/>
    </row>
    <row r="14" spans="2:16" ht="15.75" x14ac:dyDescent="0.25">
      <c r="B14" s="101">
        <v>1</v>
      </c>
      <c r="C14" s="445" t="s">
        <v>160</v>
      </c>
      <c r="D14" s="445"/>
      <c r="E14" s="445"/>
      <c r="F14" s="290"/>
      <c r="G14" s="45"/>
      <c r="H14" s="29"/>
      <c r="I14" s="29"/>
      <c r="J14" s="309"/>
      <c r="K14" s="293">
        <f>SUM(F14:J14)</f>
        <v>0</v>
      </c>
      <c r="L14"/>
      <c r="M14"/>
      <c r="N14"/>
      <c r="O14" s="108"/>
      <c r="P14" s="108"/>
    </row>
    <row r="15" spans="2:16" ht="15.75" x14ac:dyDescent="0.25">
      <c r="B15" s="101">
        <v>2</v>
      </c>
      <c r="C15" s="445" t="s">
        <v>161</v>
      </c>
      <c r="D15" s="445"/>
      <c r="E15" s="445"/>
      <c r="F15" s="29">
        <v>56068</v>
      </c>
      <c r="G15" s="411"/>
      <c r="H15" s="412"/>
      <c r="I15" s="412"/>
      <c r="J15" s="413"/>
      <c r="K15" s="293">
        <f>SUM(F15:J15)</f>
        <v>56068</v>
      </c>
      <c r="L15"/>
      <c r="M15"/>
      <c r="N15"/>
      <c r="O15" s="108"/>
      <c r="P15" s="108"/>
    </row>
    <row r="16" spans="2:16" ht="15.75" x14ac:dyDescent="0.25">
      <c r="B16" s="405">
        <v>3</v>
      </c>
      <c r="C16" s="442" t="s">
        <v>314</v>
      </c>
      <c r="D16" s="443"/>
      <c r="E16" s="444"/>
      <c r="F16" s="367"/>
      <c r="G16" s="19"/>
      <c r="H16" s="19"/>
      <c r="I16" s="19"/>
      <c r="J16" s="19"/>
      <c r="K16" s="293">
        <f>SUM(F16:J16)</f>
        <v>0</v>
      </c>
      <c r="L16" s="404"/>
      <c r="M16" s="404"/>
      <c r="N16" s="404"/>
      <c r="O16" s="108"/>
      <c r="P16" s="108"/>
    </row>
    <row r="17" spans="2:17" ht="15.75" x14ac:dyDescent="0.25">
      <c r="B17" s="405">
        <v>4</v>
      </c>
      <c r="C17" s="442" t="s">
        <v>315</v>
      </c>
      <c r="D17" s="443"/>
      <c r="E17" s="444"/>
      <c r="F17" s="410"/>
      <c r="G17" s="19"/>
      <c r="H17" s="19"/>
      <c r="I17" s="19"/>
      <c r="J17" s="19"/>
      <c r="K17" s="293">
        <f>SUM(F17:J17)</f>
        <v>0</v>
      </c>
      <c r="L17" s="404"/>
      <c r="M17" s="404"/>
      <c r="N17" s="404"/>
      <c r="O17" s="108"/>
      <c r="P17" s="108"/>
    </row>
    <row r="18" spans="2:17" ht="15.75" x14ac:dyDescent="0.25">
      <c r="B18" s="101">
        <v>5</v>
      </c>
      <c r="C18" s="445" t="s">
        <v>162</v>
      </c>
      <c r="D18" s="445"/>
      <c r="E18" s="445"/>
      <c r="F18" s="28">
        <f>SUMIF($J$29:$J$132,"Project Administration",K$29:K$132)</f>
        <v>58765</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58765</v>
      </c>
      <c r="L18"/>
      <c r="M18"/>
      <c r="N18"/>
      <c r="O18" s="108"/>
      <c r="P18" s="108"/>
    </row>
    <row r="19" spans="2:17" ht="15.75" x14ac:dyDescent="0.25">
      <c r="B19" s="101">
        <v>6</v>
      </c>
      <c r="C19" s="445" t="s">
        <v>163</v>
      </c>
      <c r="D19" s="445"/>
      <c r="E19" s="445"/>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5" t="s">
        <v>236</v>
      </c>
      <c r="D20" s="445"/>
      <c r="E20" s="445"/>
      <c r="F20" s="19">
        <f>SUMIF($J$29:$J$132,"Project Direct",K$29:K$132)</f>
        <v>189543</v>
      </c>
      <c r="G20" s="47">
        <f>SUMIF($J$29:$J$132,"Project Direct",L$29:L$132)</f>
        <v>0</v>
      </c>
      <c r="H20" s="19">
        <f>SUMIF($J$29:$J$132,"Project Direct",M$29:M$132)</f>
        <v>0</v>
      </c>
      <c r="I20" s="19">
        <f>SUMIF($J$29:$J$132,"Project Direct",N$29:N$132)</f>
        <v>0</v>
      </c>
      <c r="J20" s="19">
        <f>SUMIF($J$29:$J$132,"Project Direct",O$29:O$132)</f>
        <v>0</v>
      </c>
      <c r="K20" s="293">
        <f t="shared" si="0"/>
        <v>189543</v>
      </c>
      <c r="L20"/>
      <c r="M20"/>
      <c r="N20"/>
      <c r="O20" s="108"/>
      <c r="P20" s="108"/>
    </row>
    <row r="21" spans="2:17" ht="15.75" x14ac:dyDescent="0.25">
      <c r="B21" s="101">
        <v>8</v>
      </c>
      <c r="C21" s="458" t="s">
        <v>164</v>
      </c>
      <c r="D21" s="458"/>
      <c r="E21" s="458"/>
      <c r="F21" s="18">
        <f>SUM(F18:F20)</f>
        <v>248308</v>
      </c>
      <c r="G21" s="48">
        <f>SUM(G18:G20)</f>
        <v>0</v>
      </c>
      <c r="H21" s="18">
        <f>SUM(H18:H20)</f>
        <v>0</v>
      </c>
      <c r="I21" s="18">
        <f>SUM(I18:I20)</f>
        <v>0</v>
      </c>
      <c r="J21" s="18">
        <f t="shared" ref="J21" si="1">SUM(J18:J20)</f>
        <v>0</v>
      </c>
      <c r="K21" s="18">
        <f t="shared" ref="K21" si="2">SUM(K18:K20)</f>
        <v>248308</v>
      </c>
      <c r="L21"/>
      <c r="M21"/>
      <c r="N21"/>
      <c r="O21" s="108"/>
      <c r="P21" s="108"/>
    </row>
    <row r="22" spans="2:17" ht="30.95" customHeight="1" x14ac:dyDescent="0.25">
      <c r="B22" s="101">
        <v>9</v>
      </c>
      <c r="C22" s="455" t="s">
        <v>316</v>
      </c>
      <c r="D22" s="455"/>
      <c r="E22" s="455"/>
      <c r="F22" s="20">
        <f t="shared" ref="F22:K22" si="3">SUM(F14:F15,F17,F18:F20)</f>
        <v>304376</v>
      </c>
      <c r="G22" s="20">
        <f t="shared" si="3"/>
        <v>0</v>
      </c>
      <c r="H22" s="20">
        <f t="shared" si="3"/>
        <v>0</v>
      </c>
      <c r="I22" s="20">
        <f t="shared" si="3"/>
        <v>0</v>
      </c>
      <c r="J22" s="20">
        <f t="shared" si="3"/>
        <v>0</v>
      </c>
      <c r="K22" s="20">
        <f t="shared" si="3"/>
        <v>304376</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6" t="s">
        <v>167</v>
      </c>
      <c r="E27" s="456"/>
      <c r="F27" s="456"/>
      <c r="G27" s="456"/>
      <c r="H27" s="456"/>
      <c r="I27" s="456"/>
      <c r="J27" s="456"/>
      <c r="K27" s="340" t="s">
        <v>28</v>
      </c>
      <c r="L27" s="456" t="s">
        <v>30</v>
      </c>
      <c r="M27" s="456"/>
      <c r="N27" s="456"/>
      <c r="O27" s="456"/>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66</v>
      </c>
      <c r="D29" s="395" t="s">
        <v>327</v>
      </c>
      <c r="E29" s="138"/>
      <c r="F29" s="138">
        <v>41852</v>
      </c>
      <c r="G29" s="138">
        <v>42522</v>
      </c>
      <c r="H29" s="116">
        <v>803105</v>
      </c>
      <c r="I29" s="116"/>
      <c r="J29" s="118" t="s">
        <v>158</v>
      </c>
      <c r="K29" s="120">
        <v>29383</v>
      </c>
      <c r="L29" s="120"/>
      <c r="M29" s="116"/>
      <c r="N29" s="116"/>
      <c r="O29" s="129"/>
      <c r="P29" s="293">
        <f t="shared" ref="P29:P64" si="4">SUM(K29:O29)</f>
        <v>29383</v>
      </c>
    </row>
    <row r="30" spans="2:17" x14ac:dyDescent="0.2">
      <c r="B30" s="123">
        <v>1</v>
      </c>
      <c r="C30" s="139">
        <f t="shared" ref="C30:I31" si="5">IF(ISBLANK(C29),"",C29)</f>
        <v>66</v>
      </c>
      <c r="D30" s="397" t="str">
        <f t="shared" si="5"/>
        <v>Cognitive Remediation Therapy</v>
      </c>
      <c r="E30" s="140" t="str">
        <f t="shared" si="5"/>
        <v/>
      </c>
      <c r="F30" s="140">
        <f t="shared" si="5"/>
        <v>41852</v>
      </c>
      <c r="G30" s="140">
        <f t="shared" si="5"/>
        <v>42522</v>
      </c>
      <c r="H30" s="122">
        <f t="shared" si="5"/>
        <v>803105</v>
      </c>
      <c r="I30" s="122" t="str">
        <f t="shared" si="5"/>
        <v/>
      </c>
      <c r="J30" s="119" t="s">
        <v>159</v>
      </c>
      <c r="K30" s="120"/>
      <c r="L30" s="120"/>
      <c r="M30" s="116"/>
      <c r="N30" s="116"/>
      <c r="O30" s="129"/>
      <c r="P30" s="293">
        <f t="shared" si="4"/>
        <v>0</v>
      </c>
    </row>
    <row r="31" spans="2:17" x14ac:dyDescent="0.2">
      <c r="B31" s="123">
        <v>1</v>
      </c>
      <c r="C31" s="139">
        <f t="shared" ref="C31:H31" si="6">IF(ISBLANK(C29),"",C29)</f>
        <v>66</v>
      </c>
      <c r="D31" s="398" t="str">
        <f t="shared" si="6"/>
        <v>Cognitive Remediation Therapy</v>
      </c>
      <c r="E31" s="141" t="str">
        <f t="shared" si="6"/>
        <v/>
      </c>
      <c r="F31" s="141">
        <f t="shared" si="6"/>
        <v>41852</v>
      </c>
      <c r="G31" s="141">
        <f t="shared" si="6"/>
        <v>42522</v>
      </c>
      <c r="H31" s="119">
        <f t="shared" si="6"/>
        <v>803105</v>
      </c>
      <c r="I31" s="119" t="str">
        <f t="shared" si="5"/>
        <v/>
      </c>
      <c r="J31" s="119" t="s">
        <v>237</v>
      </c>
      <c r="K31" s="120">
        <v>162042</v>
      </c>
      <c r="L31" s="120"/>
      <c r="M31" s="116"/>
      <c r="N31" s="116"/>
      <c r="O31" s="129"/>
      <c r="P31" s="293">
        <f t="shared" si="4"/>
        <v>162042</v>
      </c>
    </row>
    <row r="32" spans="2:17" ht="15.75" x14ac:dyDescent="0.25">
      <c r="B32" s="96">
        <v>1</v>
      </c>
      <c r="C32" s="22">
        <f t="shared" ref="C32:I32" si="7">IF(ISBLANK(C29),"",C29)</f>
        <v>66</v>
      </c>
      <c r="D32" s="399" t="str">
        <f t="shared" si="7"/>
        <v>Cognitive Remediation Therapy</v>
      </c>
      <c r="E32" s="33" t="str">
        <f t="shared" si="7"/>
        <v/>
      </c>
      <c r="F32" s="33">
        <f t="shared" si="7"/>
        <v>41852</v>
      </c>
      <c r="G32" s="33">
        <f t="shared" si="7"/>
        <v>42522</v>
      </c>
      <c r="H32" s="34">
        <f t="shared" si="7"/>
        <v>803105</v>
      </c>
      <c r="I32" s="34" t="str">
        <f t="shared" si="7"/>
        <v/>
      </c>
      <c r="J32" s="8" t="s">
        <v>263</v>
      </c>
      <c r="K32" s="50">
        <f>SUM(K29:K31)</f>
        <v>191425</v>
      </c>
      <c r="L32" s="50">
        <f>SUM(L29:L31)</f>
        <v>0</v>
      </c>
      <c r="M32" s="35">
        <f t="shared" ref="M32:O32" si="8">SUM(M29:M31)</f>
        <v>0</v>
      </c>
      <c r="N32" s="35">
        <f t="shared" si="8"/>
        <v>0</v>
      </c>
      <c r="O32" s="311">
        <f t="shared" si="8"/>
        <v>0</v>
      </c>
      <c r="P32" s="8">
        <f t="shared" si="4"/>
        <v>191425</v>
      </c>
    </row>
    <row r="33" spans="2:16" x14ac:dyDescent="0.2">
      <c r="B33" s="123">
        <v>2</v>
      </c>
      <c r="C33" s="137">
        <f>IF(P36&lt;&gt;0,VLOOKUP($D$7,Info_County_Code,2,FALSE),"")</f>
        <v>66</v>
      </c>
      <c r="D33" s="395" t="s">
        <v>328</v>
      </c>
      <c r="E33" s="138"/>
      <c r="F33" s="138">
        <v>41852</v>
      </c>
      <c r="G33" s="138">
        <v>42095</v>
      </c>
      <c r="H33" s="116">
        <v>667044</v>
      </c>
      <c r="I33" s="116"/>
      <c r="J33" s="118" t="str">
        <f>IF(NOT(ISBLANK(D33)),$J$29,"")</f>
        <v>Project Administration</v>
      </c>
      <c r="K33" s="120">
        <v>29382</v>
      </c>
      <c r="L33" s="120"/>
      <c r="M33" s="116"/>
      <c r="N33" s="116"/>
      <c r="O33" s="129"/>
      <c r="P33" s="293">
        <f t="shared" ref="P33:P36" si="9">SUM(K33:O33)</f>
        <v>29382</v>
      </c>
    </row>
    <row r="34" spans="2:16" x14ac:dyDescent="0.2">
      <c r="B34" s="123">
        <v>2</v>
      </c>
      <c r="C34" s="139">
        <f t="shared" ref="C34:I34" si="10">IF(ISBLANK(C33),"",C33)</f>
        <v>66</v>
      </c>
      <c r="D34" s="397" t="str">
        <f t="shared" si="10"/>
        <v>Employment Stability</v>
      </c>
      <c r="E34" s="140" t="str">
        <f t="shared" si="10"/>
        <v/>
      </c>
      <c r="F34" s="140">
        <f t="shared" si="10"/>
        <v>41852</v>
      </c>
      <c r="G34" s="140">
        <f t="shared" si="10"/>
        <v>42095</v>
      </c>
      <c r="H34" s="122">
        <f t="shared" si="10"/>
        <v>667044</v>
      </c>
      <c r="I34" s="122" t="str">
        <f t="shared" si="10"/>
        <v/>
      </c>
      <c r="J34" s="119" t="str">
        <f>IF(NOT(ISBLANK(D33)),$J$30,"")</f>
        <v>Project Evaluation</v>
      </c>
      <c r="K34" s="120"/>
      <c r="L34" s="120"/>
      <c r="M34" s="116"/>
      <c r="N34" s="116"/>
      <c r="O34" s="129"/>
      <c r="P34" s="293">
        <f t="shared" si="9"/>
        <v>0</v>
      </c>
    </row>
    <row r="35" spans="2:16" x14ac:dyDescent="0.2">
      <c r="B35" s="123">
        <v>2</v>
      </c>
      <c r="C35" s="139">
        <f t="shared" ref="C35:I35" si="11">IF(ISBLANK(C33),"",C33)</f>
        <v>66</v>
      </c>
      <c r="D35" s="398" t="str">
        <f t="shared" si="11"/>
        <v>Employment Stability</v>
      </c>
      <c r="E35" s="141" t="str">
        <f t="shared" si="11"/>
        <v/>
      </c>
      <c r="F35" s="141">
        <f t="shared" si="11"/>
        <v>41852</v>
      </c>
      <c r="G35" s="141">
        <f t="shared" si="11"/>
        <v>42095</v>
      </c>
      <c r="H35" s="119">
        <f t="shared" si="11"/>
        <v>667044</v>
      </c>
      <c r="I35" s="119" t="str">
        <f t="shared" si="11"/>
        <v/>
      </c>
      <c r="J35" s="119" t="str">
        <f>IF(NOT(ISBLANK(D33)),$J$31,"")</f>
        <v>Project Direct</v>
      </c>
      <c r="K35" s="120">
        <v>27501</v>
      </c>
      <c r="L35" s="120"/>
      <c r="M35" s="116"/>
      <c r="N35" s="116"/>
      <c r="O35" s="129"/>
      <c r="P35" s="293">
        <f t="shared" si="9"/>
        <v>27501</v>
      </c>
    </row>
    <row r="36" spans="2:16" ht="15.75" x14ac:dyDescent="0.25">
      <c r="B36" s="362">
        <v>2</v>
      </c>
      <c r="C36" s="22">
        <f t="shared" ref="C36:I36" si="12">IF(ISBLANK(C33),"",C33)</f>
        <v>66</v>
      </c>
      <c r="D36" s="399" t="str">
        <f t="shared" si="12"/>
        <v>Employment Stability</v>
      </c>
      <c r="E36" s="33" t="str">
        <f t="shared" si="12"/>
        <v/>
      </c>
      <c r="F36" s="33">
        <f t="shared" si="12"/>
        <v>41852</v>
      </c>
      <c r="G36" s="33">
        <f t="shared" si="12"/>
        <v>42095</v>
      </c>
      <c r="H36" s="34">
        <f t="shared" si="12"/>
        <v>667044</v>
      </c>
      <c r="I36" s="34" t="str">
        <f t="shared" si="12"/>
        <v/>
      </c>
      <c r="J36" s="8" t="str">
        <f>IF(NOT(ISBLANK(D33)),$J$32,"")</f>
        <v>Project Subtotal</v>
      </c>
      <c r="K36" s="50">
        <f t="shared" ref="K36" si="13">SUM(K33:K35)</f>
        <v>56883</v>
      </c>
      <c r="L36" s="50">
        <f>SUM(L33:L35)</f>
        <v>0</v>
      </c>
      <c r="M36" s="35">
        <f t="shared" ref="M36:O36" si="14">SUM(M33:M35)</f>
        <v>0</v>
      </c>
      <c r="N36" s="35">
        <f t="shared" si="14"/>
        <v>0</v>
      </c>
      <c r="O36" s="311">
        <f t="shared" si="14"/>
        <v>0</v>
      </c>
      <c r="P36" s="8">
        <f t="shared" si="9"/>
        <v>56883</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17" scale="58" fitToHeight="2"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topLeftCell="A7" zoomScale="70" zoomScaleNormal="70" zoomScaleSheetLayoutView="55" workbookViewId="0">
      <selection activeCell="G38" sqref="G38"/>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Tri-City</v>
      </c>
      <c r="F7" s="94" t="s">
        <v>2</v>
      </c>
      <c r="G7" s="38">
        <f>IF(ISBLANK('1. Information'!D7),"",'1. Information'!D7)</f>
        <v>43495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0" t="s">
        <v>213</v>
      </c>
      <c r="H12" s="461"/>
      <c r="I12" s="461"/>
      <c r="J12" s="462"/>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5" t="s">
        <v>16</v>
      </c>
      <c r="D14" s="445"/>
      <c r="E14" s="442"/>
      <c r="F14" s="290"/>
      <c r="G14" s="142"/>
      <c r="H14" s="142"/>
      <c r="I14" s="142"/>
      <c r="J14" s="142"/>
      <c r="K14" s="292">
        <f>SUM(F14:J14)</f>
        <v>0</v>
      </c>
      <c r="L14"/>
      <c r="M14"/>
      <c r="N14" s="108"/>
      <c r="O14" s="108"/>
    </row>
    <row r="15" spans="1:22" ht="15.75" x14ac:dyDescent="0.25">
      <c r="A15" s="108"/>
      <c r="B15" s="101">
        <v>2</v>
      </c>
      <c r="C15" s="445" t="s">
        <v>17</v>
      </c>
      <c r="D15" s="445"/>
      <c r="E15" s="442"/>
      <c r="F15" s="290"/>
      <c r="G15" s="142"/>
      <c r="H15" s="142"/>
      <c r="I15" s="142"/>
      <c r="J15" s="142"/>
      <c r="K15" s="292">
        <f t="shared" ref="K15:K19" si="0">SUM(F15:J15)</f>
        <v>0</v>
      </c>
      <c r="L15"/>
      <c r="M15"/>
      <c r="N15" s="108"/>
      <c r="O15" s="108"/>
    </row>
    <row r="16" spans="1:22" ht="15.75" x14ac:dyDescent="0.25">
      <c r="A16" s="108"/>
      <c r="B16" s="101">
        <v>3</v>
      </c>
      <c r="C16" s="445" t="s">
        <v>238</v>
      </c>
      <c r="D16" s="445"/>
      <c r="E16" s="442"/>
      <c r="F16" s="290">
        <f>62243-63</f>
        <v>62180</v>
      </c>
      <c r="G16" s="355"/>
      <c r="H16" s="355"/>
      <c r="I16" s="355"/>
      <c r="J16" s="355"/>
      <c r="K16" s="292">
        <f t="shared" si="0"/>
        <v>62180</v>
      </c>
      <c r="L16"/>
      <c r="M16"/>
      <c r="N16" s="108"/>
      <c r="O16" s="108"/>
    </row>
    <row r="17" spans="1:22" ht="15.75" x14ac:dyDescent="0.25">
      <c r="A17" s="108"/>
      <c r="B17" s="101">
        <v>4</v>
      </c>
      <c r="C17" s="445" t="s">
        <v>221</v>
      </c>
      <c r="D17" s="445"/>
      <c r="E17" s="442"/>
      <c r="F17" s="367"/>
      <c r="G17" s="119"/>
      <c r="H17" s="119"/>
      <c r="I17" s="119"/>
      <c r="J17" s="119"/>
      <c r="K17" s="292">
        <f t="shared" si="0"/>
        <v>0</v>
      </c>
      <c r="L17"/>
      <c r="M17"/>
      <c r="N17" s="108"/>
      <c r="O17" s="108"/>
    </row>
    <row r="18" spans="1:22" ht="15.75" x14ac:dyDescent="0.25">
      <c r="A18" s="108"/>
      <c r="B18" s="101">
        <v>5</v>
      </c>
      <c r="C18" s="445" t="s">
        <v>222</v>
      </c>
      <c r="D18" s="445"/>
      <c r="E18" s="442"/>
      <c r="F18" s="367"/>
      <c r="G18" s="119"/>
      <c r="H18" s="119"/>
      <c r="I18" s="119"/>
      <c r="J18" s="119"/>
      <c r="K18" s="292">
        <f t="shared" si="0"/>
        <v>0</v>
      </c>
      <c r="L18"/>
      <c r="M18"/>
      <c r="N18" s="108"/>
      <c r="O18" s="108"/>
    </row>
    <row r="19" spans="1:22" ht="15.75" x14ac:dyDescent="0.25">
      <c r="A19" s="108"/>
      <c r="B19" s="101">
        <v>6</v>
      </c>
      <c r="C19" s="442" t="s">
        <v>174</v>
      </c>
      <c r="D19" s="443"/>
      <c r="E19" s="444"/>
      <c r="F19" s="122">
        <f>SUM(E28:E32)</f>
        <v>210273</v>
      </c>
      <c r="G19" s="121">
        <f t="shared" ref="G19:I19" si="1">SUM(F28:F32)</f>
        <v>0</v>
      </c>
      <c r="H19" s="122">
        <f t="shared" si="1"/>
        <v>0</v>
      </c>
      <c r="I19" s="122">
        <f t="shared" si="1"/>
        <v>0</v>
      </c>
      <c r="J19" s="122">
        <f>SUM(I28:I32)</f>
        <v>0</v>
      </c>
      <c r="K19" s="293">
        <f t="shared" si="0"/>
        <v>210273</v>
      </c>
      <c r="L19"/>
      <c r="M19"/>
      <c r="N19" s="108"/>
      <c r="O19" s="108"/>
    </row>
    <row r="20" spans="1:22" ht="30.95" customHeight="1" x14ac:dyDescent="0.25">
      <c r="A20" s="108"/>
      <c r="B20" s="101">
        <v>7</v>
      </c>
      <c r="C20" s="455" t="s">
        <v>220</v>
      </c>
      <c r="D20" s="455"/>
      <c r="E20" s="455"/>
      <c r="F20" s="8">
        <f>SUM(F14:F16,F18:F19)</f>
        <v>272453</v>
      </c>
      <c r="G20" s="43">
        <f t="shared" ref="G20:J20" si="2">SUM(G14:G16,G18:G19)</f>
        <v>0</v>
      </c>
      <c r="H20" s="7">
        <f t="shared" si="2"/>
        <v>0</v>
      </c>
      <c r="I20" s="7">
        <f t="shared" si="2"/>
        <v>0</v>
      </c>
      <c r="J20" s="7">
        <f t="shared" si="2"/>
        <v>0</v>
      </c>
      <c r="K20" s="8">
        <f>SUM(K14:K16,K18:K19)</f>
        <v>272453</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3" t="s">
        <v>30</v>
      </c>
      <c r="G26" s="463"/>
      <c r="H26" s="463"/>
      <c r="I26" s="463"/>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66</v>
      </c>
      <c r="D28" s="145" t="s">
        <v>105</v>
      </c>
      <c r="E28" s="117">
        <v>15625</v>
      </c>
      <c r="F28" s="120"/>
      <c r="G28" s="117"/>
      <c r="H28" s="117"/>
      <c r="I28" s="312"/>
      <c r="J28" s="119">
        <f>SUM(E28:I28)</f>
        <v>15625</v>
      </c>
      <c r="K28"/>
      <c r="L28"/>
      <c r="M28"/>
      <c r="N28"/>
      <c r="O28"/>
      <c r="P28"/>
      <c r="Q28"/>
      <c r="R28"/>
    </row>
    <row r="29" spans="1:22" ht="15.75" x14ac:dyDescent="0.25">
      <c r="A29" s="108"/>
      <c r="B29" s="101">
        <v>2</v>
      </c>
      <c r="C29" s="132">
        <f>IF(J29&lt;&gt;0,VLOOKUP($D$7,Info_County_Code,2,FALSE),"")</f>
        <v>66</v>
      </c>
      <c r="D29" s="145" t="s">
        <v>106</v>
      </c>
      <c r="E29" s="116">
        <v>179022</v>
      </c>
      <c r="F29" s="120"/>
      <c r="G29" s="116"/>
      <c r="H29" s="116"/>
      <c r="I29" s="313"/>
      <c r="J29" s="119">
        <f t="shared" ref="J29:J32" si="3">SUM(E29:I29)</f>
        <v>179022</v>
      </c>
      <c r="K29"/>
      <c r="L29"/>
      <c r="M29"/>
      <c r="N29"/>
      <c r="O29"/>
      <c r="P29"/>
      <c r="Q29"/>
      <c r="R29"/>
    </row>
    <row r="30" spans="1:22" ht="15.75" x14ac:dyDescent="0.25">
      <c r="A30" s="108"/>
      <c r="B30" s="101">
        <v>3</v>
      </c>
      <c r="C30" s="132">
        <f>IF(J30&lt;&gt;0,VLOOKUP($D$7,Info_County_Code,2,FALSE),"")</f>
        <v>66</v>
      </c>
      <c r="D30" s="145" t="s">
        <v>107</v>
      </c>
      <c r="E30" s="116">
        <v>15626</v>
      </c>
      <c r="F30" s="120"/>
      <c r="G30" s="116"/>
      <c r="H30" s="116"/>
      <c r="I30" s="313"/>
      <c r="J30" s="119">
        <f t="shared" si="3"/>
        <v>15626</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17"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opLeftCell="A19" zoomScale="70" zoomScaleNormal="70" zoomScaleSheetLayoutView="40" workbookViewId="0">
      <selection activeCell="E48" sqref="E48"/>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7"/>
      <c r="C1" s="457"/>
      <c r="D1" s="457"/>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Tri-City</v>
      </c>
      <c r="E7" s="16"/>
      <c r="F7" s="95" t="s">
        <v>2</v>
      </c>
      <c r="G7" s="109">
        <f>IF(ISBLANK('1. Information'!D7),"",'1. Information'!D7)</f>
        <v>43495</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0" t="s">
        <v>213</v>
      </c>
      <c r="H12" s="430"/>
      <c r="I12" s="430"/>
      <c r="J12" s="430"/>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5" t="s">
        <v>189</v>
      </c>
      <c r="D14" s="445"/>
      <c r="E14" s="442"/>
      <c r="F14" s="142"/>
      <c r="G14" s="142"/>
      <c r="H14" s="142"/>
      <c r="I14" s="142"/>
      <c r="J14" s="142"/>
      <c r="K14" s="118">
        <f>SUM(F14:J14)</f>
        <v>0</v>
      </c>
      <c r="L14"/>
      <c r="M14"/>
      <c r="U14" s="108"/>
      <c r="V14" s="108"/>
      <c r="W14" s="108"/>
    </row>
    <row r="15" spans="2:23" x14ac:dyDescent="0.25">
      <c r="B15" s="101">
        <v>2</v>
      </c>
      <c r="C15" s="445" t="s">
        <v>188</v>
      </c>
      <c r="D15" s="445"/>
      <c r="E15" s="442"/>
      <c r="F15" s="142"/>
      <c r="G15" s="142"/>
      <c r="H15" s="142"/>
      <c r="I15" s="142"/>
      <c r="J15" s="142"/>
      <c r="K15" s="118">
        <f t="shared" ref="K15:K20" si="0">SUM(F15:J15)</f>
        <v>0</v>
      </c>
      <c r="L15"/>
      <c r="M15"/>
      <c r="U15" s="108"/>
      <c r="V15" s="108"/>
      <c r="W15" s="108"/>
    </row>
    <row r="16" spans="2:23" x14ac:dyDescent="0.25">
      <c r="B16" s="101">
        <v>3</v>
      </c>
      <c r="C16" s="445" t="s">
        <v>123</v>
      </c>
      <c r="D16" s="445"/>
      <c r="E16" s="442"/>
      <c r="F16" s="142"/>
      <c r="G16" s="142"/>
      <c r="H16" s="142"/>
      <c r="I16" s="142"/>
      <c r="J16" s="142"/>
      <c r="K16" s="118">
        <f t="shared" si="0"/>
        <v>0</v>
      </c>
      <c r="L16"/>
      <c r="M16"/>
      <c r="U16" s="108"/>
      <c r="V16" s="108"/>
      <c r="W16" s="108"/>
    </row>
    <row r="17" spans="2:23" x14ac:dyDescent="0.25">
      <c r="B17" s="101">
        <v>4</v>
      </c>
      <c r="C17" s="445" t="s">
        <v>122</v>
      </c>
      <c r="D17" s="445"/>
      <c r="E17" s="442"/>
      <c r="F17" s="142"/>
      <c r="G17" s="142"/>
      <c r="H17" s="142"/>
      <c r="I17" s="142"/>
      <c r="J17" s="142"/>
      <c r="K17" s="118">
        <f t="shared" si="0"/>
        <v>0</v>
      </c>
      <c r="L17"/>
      <c r="M17"/>
      <c r="U17" s="108"/>
      <c r="V17" s="108"/>
      <c r="W17" s="108"/>
    </row>
    <row r="18" spans="2:23" x14ac:dyDescent="0.25">
      <c r="B18" s="101">
        <v>5</v>
      </c>
      <c r="C18" s="445" t="s">
        <v>239</v>
      </c>
      <c r="D18" s="445"/>
      <c r="E18" s="442"/>
      <c r="F18" s="142"/>
      <c r="G18" s="142"/>
      <c r="H18" s="142"/>
      <c r="I18" s="142"/>
      <c r="J18" s="142"/>
      <c r="K18" s="118">
        <f t="shared" si="0"/>
        <v>0</v>
      </c>
      <c r="L18"/>
      <c r="M18"/>
      <c r="U18" s="108"/>
      <c r="V18" s="108"/>
      <c r="W18" s="108"/>
    </row>
    <row r="19" spans="2:23" x14ac:dyDescent="0.25">
      <c r="B19" s="101">
        <v>6</v>
      </c>
      <c r="C19" s="445" t="s">
        <v>240</v>
      </c>
      <c r="D19" s="445"/>
      <c r="E19" s="442"/>
      <c r="F19" s="142"/>
      <c r="G19" s="142"/>
      <c r="H19" s="142"/>
      <c r="I19" s="142"/>
      <c r="J19" s="355"/>
      <c r="K19" s="118">
        <f t="shared" si="0"/>
        <v>0</v>
      </c>
      <c r="L19"/>
      <c r="M19"/>
      <c r="U19" s="108"/>
      <c r="V19" s="108"/>
      <c r="W19" s="108"/>
    </row>
    <row r="20" spans="2:23" x14ac:dyDescent="0.25">
      <c r="B20" s="101">
        <v>7</v>
      </c>
      <c r="C20" s="445" t="s">
        <v>175</v>
      </c>
      <c r="D20" s="445"/>
      <c r="E20" s="445"/>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4" t="s">
        <v>20</v>
      </c>
      <c r="D21" s="464"/>
      <c r="E21" s="464"/>
      <c r="F21" s="43">
        <f>SUM(F14:F20)</f>
        <v>0</v>
      </c>
      <c r="G21" s="43">
        <f>SUM(G14:G20)</f>
        <v>0</v>
      </c>
      <c r="H21" s="7">
        <f t="shared" ref="H21:J21" si="2">SUM(H14:H20)</f>
        <v>0</v>
      </c>
      <c r="I21" s="7">
        <f t="shared" si="2"/>
        <v>0</v>
      </c>
      <c r="J21" s="299">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3" t="s">
        <v>224</v>
      </c>
      <c r="E26" s="463"/>
      <c r="F26" s="463"/>
      <c r="G26" s="344" t="s">
        <v>214</v>
      </c>
      <c r="H26" s="463" t="s">
        <v>213</v>
      </c>
      <c r="I26" s="463"/>
      <c r="J26" s="463"/>
      <c r="K26" s="463"/>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t="str">
        <f t="shared" ref="C28:C47" si="4">IF(L28&lt;&gt;0,VLOOKUP($D$7,Info_County_Code,2,FALSE),"")</f>
        <v/>
      </c>
      <c r="D28" s="151"/>
      <c r="E28" s="151"/>
      <c r="F28" s="125"/>
      <c r="G28" s="117"/>
      <c r="H28" s="126"/>
      <c r="I28" s="126"/>
      <c r="J28" s="117"/>
      <c r="K28" s="312"/>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2019-01-31T21:46:47Z</cp:lastPrinted>
  <dcterms:created xsi:type="dcterms:W3CDTF">2017-07-05T19:48:18Z</dcterms:created>
  <dcterms:modified xsi:type="dcterms:W3CDTF">2019-05-21T21:33:22Z</dcterms:modified>
</cp:coreProperties>
</file>