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57540" windowHeight="10560" tabRatio="584" firstSheet="2" activeTab="3"/>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 r:id="rId18"/>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9" i="22" l="1"/>
  <c r="G51" i="22"/>
  <c r="G47" i="22"/>
  <c r="G44" i="22"/>
  <c r="G43" i="22"/>
  <c r="G42" i="22"/>
  <c r="G41" i="22"/>
  <c r="G40" i="22"/>
  <c r="G39" i="22"/>
  <c r="G38" i="22"/>
  <c r="G37" i="22"/>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55" i="2" l="1"/>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L45" i="22"/>
  <c r="L48" i="22"/>
  <c r="L50" i="22"/>
  <c r="L52" i="22"/>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P116" i="3"/>
  <c r="C113" i="3" s="1"/>
  <c r="C116" i="3" s="1"/>
  <c r="P112" i="3"/>
  <c r="C109" i="3" s="1"/>
  <c r="C112" i="3" s="1"/>
  <c r="C106" i="3"/>
  <c r="P108" i="3"/>
  <c r="C105" i="3" s="1"/>
  <c r="C108" i="3" s="1"/>
  <c r="P104" i="3"/>
  <c r="C101" i="3" s="1"/>
  <c r="C104" i="3" s="1"/>
  <c r="P100" i="3"/>
  <c r="C97" i="3" s="1"/>
  <c r="C100" i="3" s="1"/>
  <c r="P128" i="3"/>
  <c r="C125" i="3" s="1"/>
  <c r="C126" i="3" s="1"/>
  <c r="P132" i="3"/>
  <c r="C99" i="3"/>
  <c r="C122" i="3"/>
  <c r="C118" i="3"/>
  <c r="C123" i="3"/>
  <c r="C127" i="3"/>
  <c r="P96" i="3"/>
  <c r="C93" i="3" s="1"/>
  <c r="C96" i="3" s="1"/>
  <c r="C94" i="3"/>
  <c r="C90" i="3"/>
  <c r="C91" i="3"/>
  <c r="P36" i="3"/>
  <c r="C129" i="3" l="1"/>
  <c r="C132" i="3" s="1"/>
  <c r="C95" i="3"/>
  <c r="C115" i="3"/>
  <c r="C98" i="3"/>
  <c r="C114" i="3"/>
  <c r="C111" i="3"/>
  <c r="C110" i="3"/>
  <c r="C107" i="3"/>
  <c r="C102" i="3"/>
  <c r="C119" i="3"/>
  <c r="C128" i="3"/>
  <c r="C103" i="3"/>
  <c r="C131" i="3"/>
  <c r="C130" i="3"/>
  <c r="B3" i="20"/>
  <c r="B4" i="20"/>
  <c r="K30" i="19" l="1"/>
  <c r="K35" i="19" s="1"/>
  <c r="M27" i="19"/>
  <c r="D17" i="19" s="1"/>
  <c r="H27" i="19"/>
  <c r="G27" i="19"/>
  <c r="J15" i="7" l="1"/>
  <c r="C15" i="7" s="1"/>
  <c r="J14" i="7"/>
  <c r="C14" i="7" s="1"/>
  <c r="K19" i="6"/>
  <c r="K18" i="6"/>
  <c r="K17" i="6"/>
  <c r="K16" i="6"/>
  <c r="K15" i="6"/>
  <c r="K14" i="6"/>
  <c r="L29" i="6"/>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J32" i="5"/>
  <c r="J31" i="5"/>
  <c r="J30" i="5"/>
  <c r="J29" i="5"/>
  <c r="J28" i="5"/>
  <c r="C28" i="5" s="1"/>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50" i="22" l="1"/>
  <c r="C52" i="22"/>
  <c r="C48" i="22"/>
  <c r="C45" i="22"/>
  <c r="C36" i="22"/>
  <c r="C35" i="22"/>
  <c r="C34" i="22"/>
  <c r="C33" i="22"/>
  <c r="H23" i="22"/>
  <c r="F24" i="22" l="1"/>
  <c r="F25" i="22"/>
  <c r="H25" i="22"/>
  <c r="D32" i="19" s="1"/>
  <c r="H24" i="22"/>
  <c r="D30" i="19" l="1"/>
  <c r="E28" i="17" l="1"/>
  <c r="D9" i="12" l="1"/>
  <c r="G7" i="14" l="1"/>
  <c r="G7" i="10"/>
  <c r="G7" i="7"/>
  <c r="G7" i="6"/>
  <c r="G7" i="5"/>
  <c r="G7" i="3"/>
  <c r="G7" i="2"/>
  <c r="D7" i="14"/>
  <c r="D7" i="10"/>
  <c r="D7" i="7"/>
  <c r="D7" i="6"/>
  <c r="D7" i="5"/>
  <c r="D7" i="3"/>
  <c r="C33" i="3" s="1"/>
  <c r="D7" i="2"/>
  <c r="C71" i="17"/>
  <c r="B71" i="17"/>
  <c r="E71" i="17" s="1"/>
  <c r="E70" i="17"/>
  <c r="C69" i="17"/>
  <c r="B69" i="17"/>
  <c r="E69" i="17" s="1"/>
  <c r="C37" i="2" l="1"/>
  <c r="C45" i="2"/>
  <c r="C53" i="2"/>
  <c r="C43" i="2"/>
  <c r="C44" i="2"/>
  <c r="C38" i="2"/>
  <c r="C46" i="2"/>
  <c r="C54" i="2"/>
  <c r="C39" i="2"/>
  <c r="C47" i="2"/>
  <c r="C40" i="2"/>
  <c r="C48" i="2"/>
  <c r="C36" i="2"/>
  <c r="C41" i="2"/>
  <c r="C49" i="2"/>
  <c r="C42" i="2"/>
  <c r="C50" i="2"/>
  <c r="C51" i="2"/>
  <c r="C52" i="2"/>
  <c r="C31" i="5"/>
  <c r="C32" i="5"/>
  <c r="C29" i="5"/>
  <c r="C30" i="5"/>
  <c r="C28" i="6"/>
  <c r="C29" i="6"/>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3" i="3"/>
  <c r="C70" i="3"/>
  <c r="C71" i="3"/>
  <c r="C66" i="3"/>
  <c r="C67" i="3"/>
  <c r="C64" i="3"/>
  <c r="C63" i="3"/>
  <c r="C60" i="3"/>
  <c r="C50" i="3"/>
  <c r="C52" i="3"/>
  <c r="C44" i="3"/>
  <c r="C43" i="3"/>
  <c r="C38" i="3"/>
  <c r="C39" i="3"/>
  <c r="C75" i="3" l="1"/>
  <c r="C47" i="3"/>
  <c r="C79" i="3"/>
  <c r="C78" i="3"/>
  <c r="C76" i="3"/>
  <c r="C82" i="3"/>
  <c r="C55" i="3"/>
  <c r="C87" i="3"/>
  <c r="C56" i="3"/>
  <c r="C86" i="3"/>
  <c r="C46" i="3"/>
  <c r="C58"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l="1"/>
  <c r="G20" i="6"/>
  <c r="H20" i="6"/>
  <c r="H21" i="6" s="1"/>
  <c r="H32" i="19" s="1"/>
  <c r="I21" i="6"/>
  <c r="H33" i="19" s="1"/>
  <c r="F20" i="6"/>
  <c r="K20" i="6" s="1"/>
  <c r="J21" i="6"/>
  <c r="H34" i="19" s="1"/>
  <c r="K21" i="6" l="1"/>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H22" i="3" s="1"/>
  <c r="I18" i="3"/>
  <c r="J18" i="3"/>
  <c r="J19" i="3"/>
  <c r="G18" i="3"/>
  <c r="H19" i="3"/>
  <c r="I19" i="3"/>
  <c r="J22" i="3" l="1"/>
  <c r="F22" i="3"/>
  <c r="F30" i="19" s="1"/>
  <c r="I22" i="3"/>
  <c r="F33" i="19" s="1"/>
  <c r="G22" i="3"/>
  <c r="F31" i="19" s="1"/>
  <c r="K18" i="3"/>
  <c r="K19" i="3"/>
  <c r="D40" i="19" s="1"/>
  <c r="I21" i="3"/>
  <c r="F34" i="19"/>
  <c r="G21" i="3"/>
  <c r="F32" i="19"/>
  <c r="N32" i="19" s="1"/>
  <c r="H21" i="3"/>
  <c r="F21" i="3"/>
  <c r="D41" i="19" l="1"/>
  <c r="K22" i="3"/>
  <c r="N30" i="19"/>
  <c r="F35" i="19"/>
  <c r="K21" i="3"/>
  <c r="C43" i="10" l="1"/>
  <c r="J21" i="3" l="1"/>
  <c r="L47" i="22" l="1"/>
  <c r="C47" i="22" s="1"/>
  <c r="L49" i="22" l="1"/>
  <c r="C49" i="22" s="1"/>
  <c r="L44" i="22"/>
  <c r="C44" i="22" s="1"/>
  <c r="L40" i="22"/>
  <c r="C40" i="22" s="1"/>
  <c r="L51" i="22"/>
  <c r="C51" i="22" s="1"/>
  <c r="L42" i="22"/>
  <c r="C42" i="22" s="1"/>
  <c r="L43" i="22"/>
  <c r="C43" i="22" s="1"/>
  <c r="L39" i="22"/>
  <c r="C39" i="22" s="1"/>
  <c r="L41" i="22"/>
  <c r="C41" i="22" s="1"/>
  <c r="L38" i="22"/>
  <c r="C38" i="22" s="1"/>
  <c r="J23" i="22"/>
  <c r="J25" i="22" s="1"/>
  <c r="D34" i="19" s="1"/>
  <c r="N34" i="19" s="1"/>
  <c r="L46" i="22"/>
  <c r="C46" i="22" s="1"/>
  <c r="I23" i="22"/>
  <c r="J24" i="22" l="1"/>
  <c r="I24" i="22"/>
  <c r="I25" i="22"/>
  <c r="D33" i="19" s="1"/>
  <c r="N33" i="19" s="1"/>
  <c r="L37" i="22"/>
  <c r="C37" i="22" s="1"/>
  <c r="G23" i="22"/>
  <c r="G24" i="22" l="1"/>
  <c r="K23" i="22"/>
  <c r="G25" i="22"/>
  <c r="D31" i="19" s="1"/>
  <c r="D35" i="19" l="1"/>
  <c r="N35" i="19" s="1"/>
  <c r="N31" i="19"/>
  <c r="K25" i="22"/>
  <c r="K24" i="22"/>
</calcChain>
</file>

<file path=xl/sharedStrings.xml><?xml version="1.0" encoding="utf-8"?>
<sst xmlns="http://schemas.openxmlformats.org/spreadsheetml/2006/main" count="846" uniqueCount="385">
  <si>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</si>
  <si>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</si>
  <si>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</si>
  <si>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</si>
  <si>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</si>
  <si>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</si>
  <si>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</si>
  <si>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</si>
  <si>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</si>
  <si>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</si>
  <si>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</si>
  <si>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</si>
  <si>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</si>
  <si>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</si>
  <si>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</si>
  <si>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</si>
  <si>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</si>
  <si>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</si>
  <si>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</si>
  <si>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</si>
  <si>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</si>
  <si>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</si>
  <si>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</si>
  <si>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</si>
  <si>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</si>
  <si>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</si>
  <si>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</si>
  <si>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</si>
  <si>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</si>
  <si>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</si>
  <si>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</si>
  <si>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</si>
  <si>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</si>
  <si>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</si>
  <si>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</si>
  <si>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</si>
  <si>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</si>
  <si>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</si>
  <si>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</si>
  <si>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</si>
  <si>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</si>
  <si>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</si>
  <si>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</si>
  <si>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</si>
  <si>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</si>
  <si>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</si>
  <si>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</si>
  <si>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</si>
  <si>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</si>
  <si>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</si>
  <si>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</si>
  <si>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</si>
  <si>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</si>
  <si>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</si>
  <si>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</si>
  <si>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</si>
  <si>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</si>
  <si>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</si>
  <si>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</si>
  <si>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</si>
  <si>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</si>
  <si>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</si>
  <si>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</si>
  <si>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</si>
  <si>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</si>
  <si>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</si>
  <si>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</si>
  <si>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</si>
  <si>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</si>
  <si>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</si>
  <si>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</si>
  <si>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</si>
  <si>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</si>
  <si>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</si>
  <si>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</si>
  <si>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</si>
  <si>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</si>
  <si>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</si>
  <si>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</si>
  <si>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</si>
  <si>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</si>
  <si>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</si>
  <si>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</si>
  <si>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</si>
  <si>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</si>
  <si>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</si>
  <si>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</si>
  <si>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</si>
  <si>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</si>
  <si>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</si>
  <si>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</si>
  <si>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</si>
  <si>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</si>
  <si>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</si>
  <si>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</si>
  <si>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</si>
  <si>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</si>
  <si>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</si>
  <si>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</si>
  <si>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</si>
  <si>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</si>
  <si>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</si>
  <si>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</si>
  <si>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</si>
  <si>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</si>
  <si>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</si>
  <si>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</si>
  <si>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</si>
  <si>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</si>
  <si>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</si>
  <si>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</si>
  <si>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</si>
  <si>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</si>
  <si>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</si>
  <si>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</si>
  <si>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</si>
  <si>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</si>
  <si>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</si>
  <si>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</si>
  <si>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</si>
  <si>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</si>
  <si>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</si>
  <si>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</si>
  <si>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</si>
  <si>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</si>
  <si>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</si>
  <si>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</si>
  <si>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</si>
  <si>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</si>
  <si>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</si>
  <si>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</si>
  <si>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</si>
  <si>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</si>
  <si>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</si>
  <si>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</si>
  <si>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</si>
  <si>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</si>
  <si>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</si>
  <si>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</si>
  <si>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</si>
  <si>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</si>
  <si>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</si>
  <si>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</si>
  <si>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</si>
  <si>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</si>
  <si>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</si>
  <si>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</si>
  <si>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</si>
  <si>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</si>
  <si>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</si>
  <si>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</si>
  <si>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</si>
  <si>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</si>
  <si>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</si>
  <si>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</si>
  <si>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</si>
  <si>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</si>
  <si>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</si>
  <si>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</si>
  <si>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</si>
  <si>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</si>
  <si>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</si>
  <si>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</si>
  <si>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</si>
  <si>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</si>
  <si>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</si>
  <si>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</si>
  <si>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</si>
  <si>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</si>
  <si>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</si>
  <si>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</si>
  <si>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</si>
  <si>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</si>
  <si>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</si>
  <si>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</si>
  <si>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</si>
  <si>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</si>
  <si>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</si>
  <si>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</si>
  <si>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</si>
  <si>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</si>
  <si>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</si>
  <si>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</si>
  <si>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</si>
  <si>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</si>
  <si>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</si>
  <si>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</si>
  <si>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</si>
  <si>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</si>
  <si>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</si>
  <si>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</si>
  <si>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</si>
  <si>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</si>
  <si>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</si>
  <si>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</si>
  <si>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</si>
  <si>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</si>
  <si>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</si>
  <si>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</si>
  <si>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</si>
  <si>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</si>
  <si>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</si>
  <si>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</si>
  <si>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</si>
  <si>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</si>
  <si>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</si>
  <si>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</si>
  <si>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</si>
  <si>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</si>
  <si>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</si>
  <si>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</si>
  <si>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</si>
  <si>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</si>
  <si>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</si>
  <si>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</si>
  <si>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</si>
  <si>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</si>
  <si>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</si>
  <si>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</si>
  <si>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</si>
  <si>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</si>
  <si>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</si>
  <si>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</si>
  <si>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</si>
  <si>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</si>
  <si>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</si>
  <si>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</si>
  <si>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</si>
  <si>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</si>
  <si>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</si>
  <si>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</si>
  <si>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</si>
  <si>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</si>
  <si>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</si>
  <si>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</si>
  <si>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</si>
  <si>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</si>
  <si>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</si>
  <si>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</si>
  <si>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</si>
  <si>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</si>
  <si>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</si>
  <si>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</si>
  <si>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</si>
  <si>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</si>
  <si>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</si>
  <si>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</si>
  <si>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</si>
  <si>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</si>
  <si>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</si>
  <si>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</si>
  <si>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</si>
  <si>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</si>
  <si>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</si>
  <si>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</si>
  <si>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</si>
  <si>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</si>
  <si>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</si>
  <si>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</si>
  <si>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</si>
  <si>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</si>
  <si>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</si>
  <si>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</si>
  <si>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</si>
  <si>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</si>
  <si>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</si>
  <si>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</si>
  <si>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</si>
  <si>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</si>
  <si>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</si>
  <si>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</si>
  <si>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</si>
  <si>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</si>
  <si>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</si>
  <si>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</si>
  <si>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</si>
  <si>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</si>
  <si>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</si>
  <si>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</si>
  <si>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</si>
  <si>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</si>
  <si>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</si>
  <si>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</si>
  <si>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</si>
  <si>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</si>
  <si>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</si>
  <si>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</si>
  <si>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</si>
  <si>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</si>
  <si>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</si>
  <si>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</si>
  <si>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</si>
  <si>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</si>
  <si>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</si>
  <si>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</si>
  <si>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</si>
  <si>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</si>
  <si>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</si>
  <si>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</si>
  <si>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</si>
  <si>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</si>
  <si>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</si>
  <si>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</si>
  <si>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</si>
  <si>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</si>
  <si>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</si>
  <si>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</si>
  <si>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</si>
  <si>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</si>
  <si>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</si>
  <si>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</si>
  <si>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</si>
  <si>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</si>
  <si>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</si>
  <si>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</si>
  <si>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</si>
  <si>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</si>
  <si>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</si>
  <si>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</si>
  <si>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</si>
  <si>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</si>
  <si>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</si>
  <si>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1911 Williams Dr</t>
  </si>
  <si>
    <t>Oxnard</t>
  </si>
  <si>
    <t>Jason B. Jones</t>
  </si>
  <si>
    <t>Principal Accountant</t>
  </si>
  <si>
    <t>jason.jones@ventura.org</t>
  </si>
  <si>
    <t>805-973-5318</t>
  </si>
  <si>
    <t>Fillmore Community Project</t>
  </si>
  <si>
    <t>Promotoras Y Promotores (Santa Paula)</t>
  </si>
  <si>
    <t>Promotoras Y Promotores (Oxnard)</t>
  </si>
  <si>
    <t>Tri-County GLAD</t>
  </si>
  <si>
    <t>Project Ezperanza</t>
  </si>
  <si>
    <t>One Step a La Vez</t>
  </si>
  <si>
    <t>Adult Wellness Center</t>
  </si>
  <si>
    <t>TAY Wellness and Recovery Center</t>
  </si>
  <si>
    <t>Early Signs Psychosis Intervention</t>
  </si>
  <si>
    <t>Early Supportive Services</t>
  </si>
  <si>
    <t>Crisis Intervention Team Training</t>
  </si>
  <si>
    <t>Mental Health First Aid</t>
  </si>
  <si>
    <t>SafeTALK</t>
  </si>
  <si>
    <t>Restorative Justice</t>
  </si>
  <si>
    <t>Positive Behavior Intervention and Supports</t>
  </si>
  <si>
    <t>IDEA Engineering</t>
  </si>
  <si>
    <t>Children's Accelerated Access To Services</t>
  </si>
  <si>
    <t>Healing Our Souls</t>
  </si>
  <si>
    <t>Youth FSP</t>
  </si>
  <si>
    <t>Adults FSP Program</t>
  </si>
  <si>
    <t>Older Adults FSP Program</t>
  </si>
  <si>
    <t>Rapid Integrated Support and Engagement (RISE)</t>
  </si>
  <si>
    <t>County-Wide Crisis Team (CT)</t>
  </si>
  <si>
    <t>Crisis Stabilization Unit (CSU)</t>
  </si>
  <si>
    <t>COMPASS for Children</t>
  </si>
  <si>
    <t>Crisis Residential Treatment (CRT)</t>
  </si>
  <si>
    <t>Screening, Triage, Assessment, and Referral (STAR)</t>
  </si>
  <si>
    <t>Transitional Age Youth (TAY) Outpatient (Transitions)</t>
  </si>
  <si>
    <t>Adult Treatment (Non-FSP)</t>
  </si>
  <si>
    <t>Older Adult Treatment (Non-FSP)</t>
  </si>
  <si>
    <t>Assist (Laura’s Law)</t>
  </si>
  <si>
    <t>The Client Network (CN)</t>
  </si>
  <si>
    <t xml:space="preserve">Quality of Life (QOL)Improvement </t>
  </si>
  <si>
    <t>Transformational Liaison (TL)</t>
  </si>
  <si>
    <t>Family Access Support Team (FAST)</t>
  </si>
  <si>
    <t>National Alliance on Mental Illness (NAMI)</t>
  </si>
  <si>
    <t>NON-FSP</t>
  </si>
  <si>
    <t>IT Phase-2 County</t>
  </si>
  <si>
    <t>IT Phase-2 Contractor</t>
  </si>
  <si>
    <t>Primary Care Integration - VCBH</t>
  </si>
  <si>
    <t>Primary Care Integration - Clinicas</t>
  </si>
  <si>
    <t>TAY FSP</t>
  </si>
  <si>
    <t>FSP Programs - Child</t>
  </si>
  <si>
    <t>FSP Programs - TAY</t>
  </si>
  <si>
    <t>FSP Programs - Adult</t>
  </si>
  <si>
    <t>Laura's Law</t>
  </si>
  <si>
    <t>Adult Health Care Access/Navigation</t>
  </si>
  <si>
    <t>Adult Treatment Tracks</t>
  </si>
  <si>
    <t>Promotores Model Program</t>
  </si>
  <si>
    <t>TAY Wellness Center</t>
  </si>
  <si>
    <t>Primary Care Integration Project</t>
  </si>
  <si>
    <t>Early Detection and Intervention for the Prevention of Psychosis</t>
  </si>
  <si>
    <t>Suicide Initiative</t>
  </si>
  <si>
    <t>Education and Media</t>
  </si>
  <si>
    <t>School Based</t>
  </si>
  <si>
    <t>Rainbow Umbrella &amp; LGBTQ+</t>
  </si>
  <si>
    <t>St Paul's Church</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</si>
</sst>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0">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9" fontId="1" fillId="0" borderId="19" xfId="1" applyFont="1" applyFill="1" applyBorder="1" applyProtection="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BH%20Fiscal\MHSA\Cost%20Report\FY17-18\FY17-18%20Exp%20and%20Rev%20Reconciliation%20RER%20CAFR%20VCFMS%20highligh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CFMS to RER"/>
      <sheetName val="FUND BAL"/>
      <sheetName val="CAFR to RER"/>
      <sheetName val="CAFR to RER Detail"/>
      <sheetName val="GL-218 Revenue"/>
      <sheetName val="GL-218 Revenue working PIVOT"/>
      <sheetName val="CSS Rev by Prog"/>
      <sheetName val="MHS039 Detail"/>
      <sheetName val="CSS FFP and Realignment Rev"/>
      <sheetName val="CSS Other Rev"/>
      <sheetName val="Interest Alloc"/>
      <sheetName val="Form 1992"/>
      <sheetName val="PIVOT 1992"/>
      <sheetName val="PEI Rev by Prog"/>
      <sheetName val="PEI 25 &amp; Under"/>
      <sheetName val="PEI FFP and Realignment Rev"/>
      <sheetName val="PEI Other REV"/>
      <sheetName val="INN Rev &amp; Exp"/>
      <sheetName val="WET Rev by Prog"/>
    </sheetNames>
    <sheetDataSet>
      <sheetData sheetId="0"/>
      <sheetData sheetId="1"/>
      <sheetData sheetId="2"/>
      <sheetData sheetId="3"/>
      <sheetData sheetId="4"/>
      <sheetData sheetId="5"/>
      <sheetData sheetId="6">
        <row r="7">
          <cell r="B7" t="str">
            <v>Rapid Integrated Support and Engagement (RISE)</v>
          </cell>
          <cell r="C7" t="str">
            <v>MHS002</v>
          </cell>
          <cell r="D7">
            <v>1995254.8599999978</v>
          </cell>
          <cell r="E7">
            <v>-1.3492167927324772E-3</v>
          </cell>
          <cell r="F7">
            <v>0</v>
          </cell>
          <cell r="G7">
            <v>212824.69</v>
          </cell>
          <cell r="H7">
            <v>1782430.1713492146</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-1.3492167927324772E-3</v>
          </cell>
          <cell r="AI7">
            <v>0</v>
          </cell>
          <cell r="AJ7">
            <v>212824.69</v>
          </cell>
          <cell r="AK7">
            <v>1782430.1713492146</v>
          </cell>
        </row>
        <row r="8">
          <cell r="B8" t="str">
            <v>Crisis Stabilization Unit (CSU)</v>
          </cell>
          <cell r="C8" t="str">
            <v>MHS006</v>
          </cell>
          <cell r="D8">
            <v>2911375.1500000004</v>
          </cell>
          <cell r="E8">
            <v>971570.92192015273</v>
          </cell>
          <cell r="F8">
            <v>1561014.2280866951</v>
          </cell>
          <cell r="G8">
            <v>336302.10999315255</v>
          </cell>
          <cell r="H8">
            <v>42487.89</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971570.92192015273</v>
          </cell>
          <cell r="AI8">
            <v>1561014.2280866951</v>
          </cell>
          <cell r="AJ8">
            <v>336302.10999315255</v>
          </cell>
          <cell r="AK8">
            <v>42487.89</v>
          </cell>
        </row>
        <row r="9">
          <cell r="B9" t="str">
            <v>COMPASS for Children</v>
          </cell>
          <cell r="C9" t="str">
            <v>MHS007</v>
          </cell>
          <cell r="D9">
            <v>1264596.55</v>
          </cell>
          <cell r="E9">
            <v>368562.70280956337</v>
          </cell>
          <cell r="F9">
            <v>533154.73679263133</v>
          </cell>
          <cell r="G9">
            <v>362879.11039780534</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368562.70280956337</v>
          </cell>
          <cell r="AI9">
            <v>533154.73679263133</v>
          </cell>
          <cell r="AJ9">
            <v>362879.11039780534</v>
          </cell>
          <cell r="AK9">
            <v>0</v>
          </cell>
        </row>
        <row r="10">
          <cell r="B10" t="str">
            <v>Assist (Laura’s Law)</v>
          </cell>
          <cell r="C10" t="str">
            <v>MHS008</v>
          </cell>
          <cell r="D10">
            <v>1159977.7199999997</v>
          </cell>
          <cell r="E10">
            <v>43180.760528835002</v>
          </cell>
          <cell r="F10">
            <v>0</v>
          </cell>
          <cell r="G10">
            <v>201592</v>
          </cell>
          <cell r="H10">
            <v>915204.95947116474</v>
          </cell>
          <cell r="I10">
            <v>0</v>
          </cell>
          <cell r="J10">
            <v>0</v>
          </cell>
          <cell r="K10">
            <v>1.4648733985062846E-3</v>
          </cell>
          <cell r="L10">
            <v>2.2307061752383266E-2</v>
          </cell>
          <cell r="M10">
            <v>0</v>
          </cell>
          <cell r="N10">
            <v>0</v>
          </cell>
          <cell r="O10">
            <v>0</v>
          </cell>
          <cell r="P10">
            <v>0</v>
          </cell>
          <cell r="Q10">
            <v>0</v>
          </cell>
          <cell r="R10">
            <v>0</v>
          </cell>
          <cell r="S10">
            <v>63.25434742596056</v>
          </cell>
          <cell r="T10">
            <v>0</v>
          </cell>
          <cell r="U10">
            <v>295.30675815167893</v>
          </cell>
          <cell r="V10">
            <v>1340.6593993103315</v>
          </cell>
          <cell r="W10">
            <v>0</v>
          </cell>
          <cell r="X10">
            <v>963.23589163159636</v>
          </cell>
          <cell r="Y10">
            <v>0</v>
          </cell>
          <cell r="Z10">
            <v>4496.925192786447</v>
          </cell>
          <cell r="AA10">
            <v>20415.533547010695</v>
          </cell>
          <cell r="AB10">
            <v>0</v>
          </cell>
          <cell r="AC10">
            <v>0</v>
          </cell>
          <cell r="AD10">
            <v>0</v>
          </cell>
          <cell r="AE10">
            <v>0</v>
          </cell>
          <cell r="AF10">
            <v>0</v>
          </cell>
          <cell r="AG10">
            <v>0</v>
          </cell>
          <cell r="AH10">
            <v>42154.270289777451</v>
          </cell>
          <cell r="AI10">
            <v>0</v>
          </cell>
          <cell r="AJ10">
            <v>196799.76804906188</v>
          </cell>
          <cell r="AK10">
            <v>893448.76652484364</v>
          </cell>
        </row>
        <row r="11">
          <cell r="B11" t="str">
            <v>Youth FSP</v>
          </cell>
          <cell r="C11" t="str">
            <v>MHS034</v>
          </cell>
          <cell r="D11">
            <v>2408.2500000000073</v>
          </cell>
          <cell r="E11">
            <v>-15.139999999992597</v>
          </cell>
          <cell r="F11">
            <v>0</v>
          </cell>
          <cell r="G11">
            <v>0</v>
          </cell>
          <cell r="H11">
            <v>2423.39</v>
          </cell>
          <cell r="I11">
            <v>0</v>
          </cell>
          <cell r="J11">
            <v>1</v>
          </cell>
          <cell r="K11">
            <v>0</v>
          </cell>
          <cell r="L11">
            <v>0</v>
          </cell>
          <cell r="M11">
            <v>0</v>
          </cell>
          <cell r="N11">
            <v>-15.139999999992597</v>
          </cell>
          <cell r="O11">
            <v>0</v>
          </cell>
          <cell r="P11">
            <v>0</v>
          </cell>
          <cell r="Q11">
            <v>2423.39</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row>
        <row r="12">
          <cell r="B12" t="str">
            <v>Crisis Residential Treatment (CRT)</v>
          </cell>
          <cell r="C12" t="str">
            <v>MHS011</v>
          </cell>
          <cell r="D12">
            <v>1967171.3</v>
          </cell>
          <cell r="E12">
            <v>1157232.3539663437</v>
          </cell>
          <cell r="F12">
            <v>0</v>
          </cell>
          <cell r="G12">
            <v>763557.03742971376</v>
          </cell>
          <cell r="H12">
            <v>46381.908603942538</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1157232.3539663437</v>
          </cell>
          <cell r="AI12">
            <v>0</v>
          </cell>
          <cell r="AJ12">
            <v>763557.03742971376</v>
          </cell>
          <cell r="AK12">
            <v>46381.908603942538</v>
          </cell>
        </row>
        <row r="13">
          <cell r="B13" t="str">
            <v>County-Wide Crisis Team (CT)</v>
          </cell>
          <cell r="C13" t="str">
            <v>MHS012</v>
          </cell>
          <cell r="D13">
            <v>2697894.9699999969</v>
          </cell>
          <cell r="E13">
            <v>1351476.5637009351</v>
          </cell>
          <cell r="F13">
            <v>618904.07819633523</v>
          </cell>
          <cell r="G13">
            <v>634090.09585432219</v>
          </cell>
          <cell r="H13">
            <v>93424.232248404543</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1351476.5637009351</v>
          </cell>
          <cell r="AI13">
            <v>618904.07819633523</v>
          </cell>
          <cell r="AJ13">
            <v>634090.09585432219</v>
          </cell>
          <cell r="AK13">
            <v>93424.232248404543</v>
          </cell>
        </row>
        <row r="14">
          <cell r="B14" t="str">
            <v>Older Adult Treatment (Non-FSP)</v>
          </cell>
          <cell r="C14" t="str">
            <v>MHS013</v>
          </cell>
          <cell r="D14">
            <v>1526170.5099999995</v>
          </cell>
          <cell r="E14">
            <v>1095335.6805423265</v>
          </cell>
          <cell r="F14">
            <v>0</v>
          </cell>
          <cell r="G14">
            <v>415962.83873446524</v>
          </cell>
          <cell r="H14">
            <v>14871.990723207802</v>
          </cell>
          <cell r="I14">
            <v>0</v>
          </cell>
          <cell r="J14">
            <v>0</v>
          </cell>
          <cell r="K14">
            <v>0</v>
          </cell>
          <cell r="L14">
            <v>1.5588067865407699E-2</v>
          </cell>
          <cell r="M14">
            <v>0.98413503780613065</v>
          </cell>
          <cell r="N14">
            <v>0</v>
          </cell>
          <cell r="O14">
            <v>0</v>
          </cell>
          <cell r="P14">
            <v>0</v>
          </cell>
          <cell r="Q14">
            <v>0</v>
          </cell>
          <cell r="R14">
            <v>0</v>
          </cell>
          <cell r="S14">
            <v>0</v>
          </cell>
          <cell r="T14">
            <v>0</v>
          </cell>
          <cell r="U14">
            <v>0</v>
          </cell>
          <cell r="V14">
            <v>0</v>
          </cell>
          <cell r="W14">
            <v>0</v>
          </cell>
          <cell r="X14">
            <v>17074.166923696313</v>
          </cell>
          <cell r="Y14">
            <v>0</v>
          </cell>
          <cell r="Z14">
            <v>6484.0569596804826</v>
          </cell>
          <cell r="AA14">
            <v>231.82560068707696</v>
          </cell>
          <cell r="AB14">
            <v>0</v>
          </cell>
          <cell r="AC14">
            <v>1077958.2213809264</v>
          </cell>
          <cell r="AD14">
            <v>0</v>
          </cell>
          <cell r="AE14">
            <v>409363.60402388836</v>
          </cell>
          <cell r="AF14">
            <v>14636.047152636535</v>
          </cell>
          <cell r="AG14">
            <v>0</v>
          </cell>
          <cell r="AH14">
            <v>303.29223770368844</v>
          </cell>
          <cell r="AI14">
            <v>0</v>
          </cell>
          <cell r="AJ14">
            <v>115.17775089642964</v>
          </cell>
          <cell r="AK14">
            <v>4.1179698841915524</v>
          </cell>
        </row>
        <row r="15">
          <cell r="B15" t="str">
            <v>Older Adult Treatment (Non-FSP)</v>
          </cell>
          <cell r="C15" t="str">
            <v>MHS030</v>
          </cell>
          <cell r="D15">
            <v>1569780.3799999992</v>
          </cell>
          <cell r="E15">
            <v>1296886.3755701401</v>
          </cell>
          <cell r="F15">
            <v>0</v>
          </cell>
          <cell r="G15">
            <v>272679.68474630179</v>
          </cell>
          <cell r="H15">
            <v>214.31968355740889</v>
          </cell>
          <cell r="I15">
            <v>0</v>
          </cell>
          <cell r="J15">
            <v>0</v>
          </cell>
          <cell r="K15">
            <v>0</v>
          </cell>
          <cell r="L15">
            <v>0.77562442824273004</v>
          </cell>
          <cell r="M15">
            <v>0.22074959110692208</v>
          </cell>
          <cell r="N15">
            <v>0</v>
          </cell>
          <cell r="O15">
            <v>0</v>
          </cell>
          <cell r="P15">
            <v>0</v>
          </cell>
          <cell r="Q15">
            <v>0</v>
          </cell>
          <cell r="R15">
            <v>0</v>
          </cell>
          <cell r="S15">
            <v>0</v>
          </cell>
          <cell r="T15">
            <v>0</v>
          </cell>
          <cell r="U15">
            <v>0</v>
          </cell>
          <cell r="V15">
            <v>0</v>
          </cell>
          <cell r="W15">
            <v>0</v>
          </cell>
          <cell r="X15">
            <v>1005896.7535473764</v>
          </cell>
          <cell r="Y15">
            <v>0</v>
          </cell>
          <cell r="Z15">
            <v>211497.02457475819</v>
          </cell>
          <cell r="AA15">
            <v>166.23158202037811</v>
          </cell>
          <cell r="AB15">
            <v>0</v>
          </cell>
          <cell r="AC15">
            <v>286287.13711924659</v>
          </cell>
          <cell r="AD15">
            <v>0</v>
          </cell>
          <cell r="AE15">
            <v>60193.928910910538</v>
          </cell>
          <cell r="AF15">
            <v>47.310982511462946</v>
          </cell>
          <cell r="AG15">
            <v>0</v>
          </cell>
          <cell r="AH15">
            <v>4702.484903517121</v>
          </cell>
          <cell r="AI15">
            <v>0</v>
          </cell>
          <cell r="AJ15">
            <v>988.73126063305972</v>
          </cell>
          <cell r="AK15">
            <v>0.77711902556783485</v>
          </cell>
        </row>
        <row r="16">
          <cell r="B16" t="str">
            <v>Fillmore Community Project</v>
          </cell>
          <cell r="C16" t="str">
            <v>MHS014</v>
          </cell>
          <cell r="D16">
            <v>400205.49000000156</v>
          </cell>
          <cell r="E16">
            <v>256448.8923112372</v>
          </cell>
          <cell r="F16">
            <v>0</v>
          </cell>
          <cell r="G16">
            <v>142743.24768876436</v>
          </cell>
          <cell r="H16">
            <v>1013.35</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256448.8923112372</v>
          </cell>
          <cell r="AI16">
            <v>0</v>
          </cell>
          <cell r="AJ16">
            <v>142743.24768876436</v>
          </cell>
          <cell r="AK16">
            <v>1013.35</v>
          </cell>
        </row>
        <row r="17">
          <cell r="B17" t="str">
            <v>Transitional Age Youth (TAY) Outpatient (Transitions)</v>
          </cell>
          <cell r="C17" t="str">
            <v>MHS016</v>
          </cell>
          <cell r="D17">
            <v>1834096.91</v>
          </cell>
          <cell r="E17">
            <v>830382.2097819047</v>
          </cell>
          <cell r="F17">
            <v>0</v>
          </cell>
          <cell r="G17">
            <v>949667.86087696312</v>
          </cell>
          <cell r="H17">
            <v>54046.839341132087</v>
          </cell>
          <cell r="I17">
            <v>0</v>
          </cell>
          <cell r="J17">
            <v>0</v>
          </cell>
          <cell r="K17">
            <v>0.31341584824790192</v>
          </cell>
          <cell r="L17">
            <v>9.419867817983844E-3</v>
          </cell>
          <cell r="M17">
            <v>0</v>
          </cell>
          <cell r="N17">
            <v>0</v>
          </cell>
          <cell r="O17">
            <v>0</v>
          </cell>
          <cell r="P17">
            <v>0</v>
          </cell>
          <cell r="Q17">
            <v>0</v>
          </cell>
          <cell r="R17">
            <v>0</v>
          </cell>
          <cell r="S17">
            <v>260254.9446487629</v>
          </cell>
          <cell r="T17">
            <v>0</v>
          </cell>
          <cell r="U17">
            <v>297640.95817052393</v>
          </cell>
          <cell r="V17">
            <v>16939.135997218989</v>
          </cell>
          <cell r="W17">
            <v>0</v>
          </cell>
          <cell r="X17">
            <v>7822.0906545508733</v>
          </cell>
          <cell r="Y17">
            <v>0</v>
          </cell>
          <cell r="Z17">
            <v>8945.7457204484635</v>
          </cell>
          <cell r="AA17">
            <v>509.11408257327327</v>
          </cell>
          <cell r="AB17">
            <v>0</v>
          </cell>
          <cell r="AC17">
            <v>0</v>
          </cell>
          <cell r="AD17">
            <v>0</v>
          </cell>
          <cell r="AE17">
            <v>0</v>
          </cell>
          <cell r="AF17">
            <v>0</v>
          </cell>
          <cell r="AG17">
            <v>0</v>
          </cell>
          <cell r="AH17">
            <v>562305.17447859095</v>
          </cell>
          <cell r="AI17">
            <v>0</v>
          </cell>
          <cell r="AJ17">
            <v>643081.1569859907</v>
          </cell>
          <cell r="AK17">
            <v>36598.589261339825</v>
          </cell>
        </row>
        <row r="18">
          <cell r="B18" t="str">
            <v>Screening, Triage, Assessment, and Referral (STAR)</v>
          </cell>
          <cell r="C18" t="str">
            <v>MHS018</v>
          </cell>
          <cell r="D18">
            <v>3265113.9700000039</v>
          </cell>
          <cell r="E18">
            <v>2359574.9901660918</v>
          </cell>
          <cell r="F18">
            <v>0</v>
          </cell>
          <cell r="G18">
            <v>848221.39416262042</v>
          </cell>
          <cell r="H18">
            <v>57317.585671291512</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2359574.9901660918</v>
          </cell>
          <cell r="AI18">
            <v>0</v>
          </cell>
          <cell r="AJ18">
            <v>848221.39416262042</v>
          </cell>
          <cell r="AK18">
            <v>57317.585671291512</v>
          </cell>
        </row>
        <row r="19">
          <cell r="B19" t="str">
            <v xml:space="preserve">Quality of Life (QOL)Improvement </v>
          </cell>
          <cell r="C19" t="str">
            <v>MHS027</v>
          </cell>
          <cell r="D19">
            <v>333467.52000000002</v>
          </cell>
          <cell r="E19">
            <v>333467.52000000002</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333467.52000000002</v>
          </cell>
          <cell r="AI19">
            <v>0</v>
          </cell>
          <cell r="AJ19">
            <v>0</v>
          </cell>
          <cell r="AK19">
            <v>0</v>
          </cell>
        </row>
        <row r="20">
          <cell r="B20" t="str">
            <v>Adult Treatment (Non-FSP)</v>
          </cell>
          <cell r="C20" t="str">
            <v>MHS029</v>
          </cell>
          <cell r="D20">
            <v>-101248.28999999992</v>
          </cell>
          <cell r="E20">
            <v>-106667.39999999992</v>
          </cell>
          <cell r="F20">
            <v>0</v>
          </cell>
          <cell r="G20">
            <v>0</v>
          </cell>
          <cell r="H20">
            <v>5419.11</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-106667.39999999992</v>
          </cell>
          <cell r="AI20">
            <v>0</v>
          </cell>
          <cell r="AJ20">
            <v>0</v>
          </cell>
          <cell r="AK20">
            <v>5419.11</v>
          </cell>
        </row>
        <row r="21">
          <cell r="B21" t="str">
            <v>Adult Treatment (Non-FSP)</v>
          </cell>
          <cell r="C21" t="str">
            <v>MHS080</v>
          </cell>
          <cell r="D21">
            <v>471420.6799999997</v>
          </cell>
          <cell r="E21">
            <v>471420.6799999997</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471420.6799999997</v>
          </cell>
          <cell r="AI21">
            <v>0</v>
          </cell>
          <cell r="AJ21">
            <v>0</v>
          </cell>
          <cell r="AK21">
            <v>0</v>
          </cell>
        </row>
        <row r="22">
          <cell r="B22" t="str">
            <v>Adult Treatment (Non-FSP)</v>
          </cell>
          <cell r="C22" t="str">
            <v>MHS081</v>
          </cell>
          <cell r="D22">
            <v>1905846.1899999978</v>
          </cell>
          <cell r="E22">
            <v>733672.72085163172</v>
          </cell>
          <cell r="F22">
            <v>87480.881416969918</v>
          </cell>
          <cell r="G22">
            <v>778869.75639832846</v>
          </cell>
          <cell r="H22">
            <v>305822.83133306773</v>
          </cell>
          <cell r="I22">
            <v>0</v>
          </cell>
          <cell r="J22">
            <v>0</v>
          </cell>
          <cell r="K22">
            <v>0</v>
          </cell>
          <cell r="L22">
            <v>7.9994946408852539E-3</v>
          </cell>
          <cell r="M22">
            <v>8.2181596424584259E-3</v>
          </cell>
          <cell r="N22">
            <v>0</v>
          </cell>
          <cell r="O22">
            <v>0</v>
          </cell>
          <cell r="P22">
            <v>0</v>
          </cell>
          <cell r="Q22">
            <v>0</v>
          </cell>
          <cell r="R22">
            <v>0</v>
          </cell>
          <cell r="S22">
            <v>0</v>
          </cell>
          <cell r="T22">
            <v>0</v>
          </cell>
          <cell r="U22">
            <v>0</v>
          </cell>
          <cell r="V22">
            <v>0</v>
          </cell>
          <cell r="W22">
            <v>0</v>
          </cell>
          <cell r="X22">
            <v>5869.0109986163307</v>
          </cell>
          <cell r="Y22">
            <v>699.80284207496925</v>
          </cell>
          <cell r="Z22">
            <v>6230.5644422560317</v>
          </cell>
          <cell r="AA22">
            <v>2446.4281003092301</v>
          </cell>
          <cell r="AB22">
            <v>0</v>
          </cell>
          <cell r="AC22">
            <v>6029.4395452755462</v>
          </cell>
          <cell r="AD22">
            <v>718.93184914763344</v>
          </cell>
          <cell r="AE22">
            <v>6400.8759987641679</v>
          </cell>
          <cell r="AF22">
            <v>2513.3008502037874</v>
          </cell>
          <cell r="AG22">
            <v>0</v>
          </cell>
          <cell r="AH22">
            <v>721774.27030773985</v>
          </cell>
          <cell r="AI22">
            <v>86062.146725747312</v>
          </cell>
          <cell r="AJ22">
            <v>766238.31595730828</v>
          </cell>
          <cell r="AK22">
            <v>300863.10238255473</v>
          </cell>
        </row>
        <row r="23">
          <cell r="B23" t="str">
            <v>Adult Treatment (Non-FSP)</v>
          </cell>
          <cell r="C23" t="str">
            <v>MHS082</v>
          </cell>
          <cell r="D23">
            <v>4415549.2500000009</v>
          </cell>
          <cell r="E23">
            <v>2430961.3822343266</v>
          </cell>
          <cell r="F23">
            <v>214642.88534335577</v>
          </cell>
          <cell r="G23">
            <v>1281820.3243755763</v>
          </cell>
          <cell r="H23">
            <v>488124.65804674209</v>
          </cell>
          <cell r="I23">
            <v>0</v>
          </cell>
          <cell r="J23">
            <v>0</v>
          </cell>
          <cell r="K23">
            <v>0</v>
          </cell>
          <cell r="L23">
            <v>5.8175540553048383E-2</v>
          </cell>
          <cell r="M23">
            <v>1.985089739238724E-2</v>
          </cell>
          <cell r="N23">
            <v>0</v>
          </cell>
          <cell r="O23">
            <v>0</v>
          </cell>
          <cell r="P23">
            <v>0</v>
          </cell>
          <cell r="Q23">
            <v>0</v>
          </cell>
          <cell r="R23">
            <v>0</v>
          </cell>
          <cell r="S23">
            <v>0</v>
          </cell>
          <cell r="T23">
            <v>0</v>
          </cell>
          <cell r="U23">
            <v>0</v>
          </cell>
          <cell r="V23">
            <v>0</v>
          </cell>
          <cell r="W23">
            <v>0</v>
          </cell>
          <cell r="X23">
            <v>141422.49247506761</v>
          </cell>
          <cell r="Y23">
            <v>12486.965880715708</v>
          </cell>
          <cell r="Z23">
            <v>74570.590262432976</v>
          </cell>
          <cell r="AA23">
            <v>28396.915839141118</v>
          </cell>
          <cell r="AB23">
            <v>0</v>
          </cell>
          <cell r="AC23">
            <v>48256.76496358947</v>
          </cell>
          <cell r="AD23">
            <v>4260.853892956894</v>
          </cell>
          <cell r="AE23">
            <v>25445.283734656095</v>
          </cell>
          <cell r="AF23">
            <v>9689.7125015799866</v>
          </cell>
          <cell r="AG23">
            <v>0</v>
          </cell>
          <cell r="AH23">
            <v>2241282.1247956692</v>
          </cell>
          <cell r="AI23">
            <v>197895.06556968318</v>
          </cell>
          <cell r="AJ23">
            <v>1181804.4503784871</v>
          </cell>
          <cell r="AK23">
            <v>450038.02970602096</v>
          </cell>
        </row>
        <row r="24">
          <cell r="B24" t="str">
            <v>Adult Treatment (Non-FSP)</v>
          </cell>
          <cell r="C24" t="str">
            <v>MHS083</v>
          </cell>
          <cell r="D24">
            <v>2951406.839999998</v>
          </cell>
          <cell r="E24">
            <v>1442848.8958814181</v>
          </cell>
          <cell r="F24">
            <v>147460.88722951637</v>
          </cell>
          <cell r="G24">
            <v>1124455.757950376</v>
          </cell>
          <cell r="H24">
            <v>236641.29893868772</v>
          </cell>
          <cell r="I24">
            <v>0</v>
          </cell>
          <cell r="J24">
            <v>0</v>
          </cell>
          <cell r="K24">
            <v>0</v>
          </cell>
          <cell r="L24">
            <v>4.0914076616041399E-2</v>
          </cell>
          <cell r="M24">
            <v>8.7493571334295167E-3</v>
          </cell>
          <cell r="N24">
            <v>0</v>
          </cell>
          <cell r="O24">
            <v>0</v>
          </cell>
          <cell r="P24">
            <v>0</v>
          </cell>
          <cell r="Q24">
            <v>0</v>
          </cell>
          <cell r="R24">
            <v>0</v>
          </cell>
          <cell r="S24">
            <v>0</v>
          </cell>
          <cell r="T24">
            <v>0</v>
          </cell>
          <cell r="U24">
            <v>0</v>
          </cell>
          <cell r="V24">
            <v>0</v>
          </cell>
          <cell r="W24">
            <v>0</v>
          </cell>
          <cell r="X24">
            <v>59032.830271463085</v>
          </cell>
          <cell r="Y24">
            <v>6033.2260379778736</v>
          </cell>
          <cell r="Z24">
            <v>46006.069032130588</v>
          </cell>
          <cell r="AA24">
            <v>9681.9602352970251</v>
          </cell>
          <cell r="AB24">
            <v>0</v>
          </cell>
          <cell r="AC24">
            <v>12624.000279640988</v>
          </cell>
          <cell r="AD24">
            <v>1290.1879655834146</v>
          </cell>
          <cell r="AE24">
            <v>9838.2650070490163</v>
          </cell>
          <cell r="AF24">
            <v>2070.459236933234</v>
          </cell>
          <cell r="AG24">
            <v>0</v>
          </cell>
          <cell r="AH24">
            <v>1371192.065330314</v>
          </cell>
          <cell r="AI24">
            <v>140137.47322595509</v>
          </cell>
          <cell r="AJ24">
            <v>1068611.4239111964</v>
          </cell>
          <cell r="AK24">
            <v>224888.87946645744</v>
          </cell>
        </row>
        <row r="25">
          <cell r="B25" t="str">
            <v>Adult Treatment (Non-FSP)</v>
          </cell>
          <cell r="C25" t="str">
            <v>MHS084</v>
          </cell>
          <cell r="D25">
            <v>3585735.2700000019</v>
          </cell>
          <cell r="E25">
            <v>1878840.8193113757</v>
          </cell>
          <cell r="F25">
            <v>191159.1319030555</v>
          </cell>
          <cell r="G25">
            <v>1470632.6951983839</v>
          </cell>
          <cell r="H25">
            <v>45102.623587186754</v>
          </cell>
          <cell r="I25">
            <v>0</v>
          </cell>
          <cell r="J25">
            <v>0</v>
          </cell>
          <cell r="K25">
            <v>1.4316857650320089E-4</v>
          </cell>
          <cell r="L25">
            <v>7.0651271779606159E-2</v>
          </cell>
          <cell r="M25">
            <v>2.7211020798866826E-2</v>
          </cell>
          <cell r="N25">
            <v>0</v>
          </cell>
          <cell r="O25">
            <v>0</v>
          </cell>
          <cell r="P25">
            <v>0</v>
          </cell>
          <cell r="Q25">
            <v>0</v>
          </cell>
          <cell r="R25">
            <v>0</v>
          </cell>
          <cell r="S25">
            <v>268.99096557691735</v>
          </cell>
          <cell r="T25">
            <v>27.367980800148072</v>
          </cell>
          <cell r="U25">
            <v>210.54838953061832</v>
          </cell>
          <cell r="V25">
            <v>6.4572784155372194</v>
          </cell>
          <cell r="W25">
            <v>0</v>
          </cell>
          <cell r="X25">
            <v>132742.4933557859</v>
          </cell>
          <cell r="Y25">
            <v>13505.635781236357</v>
          </cell>
          <cell r="Z25">
            <v>103902.07023643573</v>
          </cell>
          <cell r="AA25">
            <v>3186.5577170316064</v>
          </cell>
          <cell r="AB25">
            <v>0</v>
          </cell>
          <cell r="AC25">
            <v>51125.176612041832</v>
          </cell>
          <cell r="AD25">
            <v>5201.6351141073701</v>
          </cell>
          <cell r="AE25">
            <v>40017.416856536802</v>
          </cell>
          <cell r="AF25">
            <v>1227.2884285144003</v>
          </cell>
          <cell r="AG25">
            <v>0</v>
          </cell>
          <cell r="AH25">
            <v>1694704.158377971</v>
          </cell>
          <cell r="AI25">
            <v>172424.4930269116</v>
          </cell>
          <cell r="AJ25">
            <v>1326502.6597158809</v>
          </cell>
          <cell r="AK25">
            <v>40682.320163225209</v>
          </cell>
        </row>
        <row r="26">
          <cell r="B26" t="str">
            <v>Adult Treatment (Non-FSP)</v>
          </cell>
          <cell r="C26" t="str">
            <v>MHS085</v>
          </cell>
          <cell r="D26">
            <v>2970990.5599999996</v>
          </cell>
          <cell r="E26">
            <v>1010491.4311337385</v>
          </cell>
          <cell r="F26">
            <v>125026.2434574106</v>
          </cell>
          <cell r="G26">
            <v>1135878.4505495569</v>
          </cell>
          <cell r="H26">
            <v>699594.43485929375</v>
          </cell>
          <cell r="I26">
            <v>0</v>
          </cell>
          <cell r="J26">
            <v>0</v>
          </cell>
          <cell r="K26">
            <v>0</v>
          </cell>
          <cell r="L26">
            <v>2.219962169871792E-2</v>
          </cell>
          <cell r="M26">
            <v>8.4457553914054073E-3</v>
          </cell>
          <cell r="N26">
            <v>0</v>
          </cell>
          <cell r="O26">
            <v>0</v>
          </cell>
          <cell r="P26">
            <v>0</v>
          </cell>
          <cell r="Q26">
            <v>0</v>
          </cell>
          <cell r="R26">
            <v>0</v>
          </cell>
          <cell r="S26">
            <v>0</v>
          </cell>
          <cell r="T26">
            <v>0</v>
          </cell>
          <cell r="U26">
            <v>0</v>
          </cell>
          <cell r="V26">
            <v>0</v>
          </cell>
          <cell r="W26">
            <v>0</v>
          </cell>
          <cell r="X26">
            <v>22432.527500965065</v>
          </cell>
          <cell r="Y26">
            <v>2775.5353071663217</v>
          </cell>
          <cell r="Z26">
            <v>25216.071897926031</v>
          </cell>
          <cell r="AA26">
            <v>15530.731796404678</v>
          </cell>
          <cell r="AB26">
            <v>0</v>
          </cell>
          <cell r="AC26">
            <v>8534.3634524667377</v>
          </cell>
          <cell r="AD26">
            <v>1055.9410697475905</v>
          </cell>
          <cell r="AE26">
            <v>9593.3515477101409</v>
          </cell>
          <cell r="AF26">
            <v>5908.603470010099</v>
          </cell>
          <cell r="AG26">
            <v>0</v>
          </cell>
          <cell r="AH26">
            <v>979524.54018030665</v>
          </cell>
          <cell r="AI26">
            <v>121194.76708049668</v>
          </cell>
          <cell r="AJ26">
            <v>1101069.0271039207</v>
          </cell>
          <cell r="AK26">
            <v>678155.09959287895</v>
          </cell>
        </row>
        <row r="27">
          <cell r="B27" t="str">
            <v>Adult Treatment (Non-FSP)</v>
          </cell>
          <cell r="C27" t="str">
            <v>MHS086</v>
          </cell>
          <cell r="D27">
            <v>2596333.0000000014</v>
          </cell>
          <cell r="E27">
            <v>1047260.1590889224</v>
          </cell>
          <cell r="F27">
            <v>122882.91757403061</v>
          </cell>
          <cell r="G27">
            <v>1063517.9163950991</v>
          </cell>
          <cell r="H27">
            <v>362672.00694194908</v>
          </cell>
          <cell r="I27">
            <v>0</v>
          </cell>
          <cell r="J27">
            <v>0</v>
          </cell>
          <cell r="K27">
            <v>0</v>
          </cell>
          <cell r="L27">
            <v>4.3111935602098E-2</v>
          </cell>
          <cell r="M27">
            <v>5.7244404657164948E-3</v>
          </cell>
          <cell r="N27">
            <v>0</v>
          </cell>
          <cell r="O27">
            <v>0</v>
          </cell>
          <cell r="P27">
            <v>0</v>
          </cell>
          <cell r="Q27">
            <v>0</v>
          </cell>
          <cell r="S27">
            <v>0</v>
          </cell>
          <cell r="T27">
            <v>0</v>
          </cell>
          <cell r="U27">
            <v>0</v>
          </cell>
          <cell r="V27">
            <v>0</v>
          </cell>
          <cell r="W27">
            <v>0</v>
          </cell>
          <cell r="X27">
            <v>45149.41253728453</v>
          </cell>
          <cell r="Y27">
            <v>5297.7204290495247</v>
          </cell>
          <cell r="Z27">
            <v>45850.315923302958</v>
          </cell>
          <cell r="AA27">
            <v>15635.492207964948</v>
          </cell>
          <cell r="AC27">
            <v>5994.9784328213218</v>
          </cell>
          <cell r="AD27">
            <v>703.43594590608541</v>
          </cell>
          <cell r="AE27">
            <v>6088.0449966265978</v>
          </cell>
          <cell r="AF27">
            <v>2076.0943123211068</v>
          </cell>
          <cell r="AG27">
            <v>0</v>
          </cell>
          <cell r="AH27">
            <v>996115.76811881654</v>
          </cell>
          <cell r="AI27">
            <v>116881.761199075</v>
          </cell>
          <cell r="AJ27">
            <v>1011579.5554751697</v>
          </cell>
          <cell r="AK27">
            <v>344960.42042166303</v>
          </cell>
        </row>
        <row r="28">
          <cell r="B28" t="str">
            <v>Adult Treatment (Non-FSP)</v>
          </cell>
          <cell r="C28" t="str">
            <v>MHS089</v>
          </cell>
          <cell r="D28">
            <v>543549.59</v>
          </cell>
          <cell r="E28">
            <v>543549.59</v>
          </cell>
          <cell r="F28">
            <v>0</v>
          </cell>
          <cell r="G28">
            <v>0</v>
          </cell>
          <cell r="H28">
            <v>0</v>
          </cell>
          <cell r="I28">
            <v>0</v>
          </cell>
          <cell r="J28">
            <v>0</v>
          </cell>
          <cell r="K28">
            <v>0</v>
          </cell>
          <cell r="L28">
            <v>0</v>
          </cell>
          <cell r="M28">
            <v>0</v>
          </cell>
          <cell r="N28">
            <v>0</v>
          </cell>
          <cell r="O28">
            <v>0</v>
          </cell>
          <cell r="P28">
            <v>0</v>
          </cell>
          <cell r="Q28">
            <v>0</v>
          </cell>
          <cell r="S28">
            <v>0</v>
          </cell>
          <cell r="T28">
            <v>0</v>
          </cell>
          <cell r="U28">
            <v>0</v>
          </cell>
          <cell r="V28">
            <v>0</v>
          </cell>
          <cell r="W28">
            <v>0</v>
          </cell>
          <cell r="X28">
            <v>0</v>
          </cell>
          <cell r="Y28">
            <v>0</v>
          </cell>
          <cell r="Z28">
            <v>0</v>
          </cell>
          <cell r="AA28">
            <v>0</v>
          </cell>
          <cell r="AC28">
            <v>0</v>
          </cell>
          <cell r="AD28">
            <v>0</v>
          </cell>
          <cell r="AE28">
            <v>0</v>
          </cell>
          <cell r="AF28">
            <v>0</v>
          </cell>
          <cell r="AG28">
            <v>0</v>
          </cell>
          <cell r="AH28">
            <v>543549.59</v>
          </cell>
          <cell r="AI28">
            <v>0</v>
          </cell>
          <cell r="AJ28">
            <v>0</v>
          </cell>
          <cell r="AK28">
            <v>0</v>
          </cell>
        </row>
        <row r="29">
          <cell r="B29" t="str">
            <v>Family Access Support Team (FAST)</v>
          </cell>
          <cell r="C29" t="str">
            <v>MHS032</v>
          </cell>
          <cell r="D29">
            <v>940551.75000000012</v>
          </cell>
          <cell r="E29">
            <v>737762.50000000012</v>
          </cell>
          <cell r="F29">
            <v>0</v>
          </cell>
          <cell r="G29">
            <v>0</v>
          </cell>
          <cell r="H29">
            <v>202789.25</v>
          </cell>
          <cell r="I29">
            <v>0</v>
          </cell>
          <cell r="J29">
            <v>0</v>
          </cell>
          <cell r="K29">
            <v>0</v>
          </cell>
          <cell r="L29">
            <v>0</v>
          </cell>
          <cell r="M29">
            <v>0</v>
          </cell>
          <cell r="N29">
            <v>0</v>
          </cell>
          <cell r="O29">
            <v>0</v>
          </cell>
          <cell r="P29">
            <v>0</v>
          </cell>
          <cell r="Q29">
            <v>0</v>
          </cell>
          <cell r="S29">
            <v>0</v>
          </cell>
          <cell r="T29">
            <v>0</v>
          </cell>
          <cell r="U29">
            <v>0</v>
          </cell>
          <cell r="V29">
            <v>0</v>
          </cell>
          <cell r="W29">
            <v>0</v>
          </cell>
          <cell r="X29">
            <v>0</v>
          </cell>
          <cell r="Y29">
            <v>0</v>
          </cell>
          <cell r="Z29">
            <v>0</v>
          </cell>
          <cell r="AA29">
            <v>0</v>
          </cell>
          <cell r="AC29">
            <v>0</v>
          </cell>
          <cell r="AD29">
            <v>0</v>
          </cell>
          <cell r="AE29">
            <v>0</v>
          </cell>
          <cell r="AF29">
            <v>0</v>
          </cell>
          <cell r="AG29">
            <v>0</v>
          </cell>
          <cell r="AH29">
            <v>737762.50000000012</v>
          </cell>
          <cell r="AI29">
            <v>0</v>
          </cell>
          <cell r="AJ29">
            <v>0</v>
          </cell>
          <cell r="AK29">
            <v>202789.25</v>
          </cell>
        </row>
        <row r="30">
          <cell r="B30" t="str">
            <v>VARIOUS</v>
          </cell>
          <cell r="C30" t="str">
            <v>MHS039</v>
          </cell>
          <cell r="D30">
            <v>257164.01999999961</v>
          </cell>
          <cell r="E30">
            <v>233469.04999999961</v>
          </cell>
          <cell r="F30">
            <v>0</v>
          </cell>
          <cell r="G30">
            <v>0</v>
          </cell>
          <cell r="H30">
            <v>23694.97</v>
          </cell>
          <cell r="I30">
            <v>0</v>
          </cell>
          <cell r="J30">
            <v>0</v>
          </cell>
          <cell r="K30">
            <v>0</v>
          </cell>
          <cell r="L30">
            <v>0</v>
          </cell>
          <cell r="M30">
            <v>0</v>
          </cell>
          <cell r="N30">
            <v>0</v>
          </cell>
          <cell r="O30">
            <v>0</v>
          </cell>
          <cell r="P30">
            <v>0</v>
          </cell>
          <cell r="Q30">
            <v>0</v>
          </cell>
          <cell r="S30">
            <v>0</v>
          </cell>
          <cell r="T30">
            <v>0</v>
          </cell>
          <cell r="U30">
            <v>0</v>
          </cell>
          <cell r="V30">
            <v>0</v>
          </cell>
          <cell r="W30">
            <v>0</v>
          </cell>
          <cell r="X30">
            <v>0</v>
          </cell>
          <cell r="Y30">
            <v>0</v>
          </cell>
          <cell r="Z30">
            <v>0</v>
          </cell>
          <cell r="AA30">
            <v>0</v>
          </cell>
          <cell r="AC30">
            <v>0</v>
          </cell>
          <cell r="AD30">
            <v>0</v>
          </cell>
          <cell r="AE30">
            <v>0</v>
          </cell>
          <cell r="AF30">
            <v>0</v>
          </cell>
          <cell r="AH30">
            <v>233469.04999999961</v>
          </cell>
          <cell r="AI30">
            <v>0</v>
          </cell>
          <cell r="AJ30">
            <v>0</v>
          </cell>
          <cell r="AK30">
            <v>23694.97</v>
          </cell>
        </row>
        <row r="31">
          <cell r="B31" t="str">
            <v>MHS ADMINISTRATION</v>
          </cell>
          <cell r="C31" t="str">
            <v>MHS910</v>
          </cell>
          <cell r="D31">
            <v>5859290.4600000083</v>
          </cell>
          <cell r="E31">
            <v>5008235.3896295326</v>
          </cell>
          <cell r="F31">
            <v>0</v>
          </cell>
          <cell r="G31">
            <v>669264.34037047497</v>
          </cell>
          <cell r="H31">
            <v>181790.73</v>
          </cell>
          <cell r="I31">
            <v>0</v>
          </cell>
          <cell r="J31">
            <v>0</v>
          </cell>
          <cell r="K31">
            <v>0</v>
          </cell>
          <cell r="L31">
            <v>0</v>
          </cell>
          <cell r="M31">
            <v>0</v>
          </cell>
          <cell r="N31">
            <v>0</v>
          </cell>
          <cell r="O31">
            <v>0</v>
          </cell>
          <cell r="P31">
            <v>0</v>
          </cell>
          <cell r="Q31">
            <v>0</v>
          </cell>
          <cell r="S31">
            <v>0</v>
          </cell>
          <cell r="T31">
            <v>0</v>
          </cell>
          <cell r="U31">
            <v>0</v>
          </cell>
          <cell r="V31">
            <v>0</v>
          </cell>
          <cell r="W31">
            <v>0</v>
          </cell>
          <cell r="X31">
            <v>0</v>
          </cell>
          <cell r="Y31">
            <v>0</v>
          </cell>
          <cell r="Z31">
            <v>0</v>
          </cell>
          <cell r="AA31">
            <v>0</v>
          </cell>
          <cell r="AC31">
            <v>0</v>
          </cell>
          <cell r="AD31">
            <v>0</v>
          </cell>
          <cell r="AE31">
            <v>0</v>
          </cell>
          <cell r="AF31">
            <v>0</v>
          </cell>
          <cell r="AH31">
            <v>5008235.3896295326</v>
          </cell>
          <cell r="AI31">
            <v>0</v>
          </cell>
          <cell r="AJ31">
            <v>669264.34037047497</v>
          </cell>
          <cell r="AK31">
            <v>181790.73</v>
          </cell>
        </row>
        <row r="32">
          <cell r="B32" t="str">
            <v>Office of Health Equity and Cultural Diversity Targeted Outreach</v>
          </cell>
          <cell r="C32" t="str">
            <v>MHS909</v>
          </cell>
          <cell r="D32">
            <v>108576.83999999995</v>
          </cell>
          <cell r="E32">
            <v>37490.175307685873</v>
          </cell>
          <cell r="F32">
            <v>0</v>
          </cell>
          <cell r="G32">
            <v>24699.334692314071</v>
          </cell>
          <cell r="H32">
            <v>46387.33</v>
          </cell>
          <cell r="I32">
            <v>0</v>
          </cell>
          <cell r="J32">
            <v>0</v>
          </cell>
          <cell r="K32">
            <v>0</v>
          </cell>
          <cell r="L32">
            <v>0</v>
          </cell>
          <cell r="M32">
            <v>0</v>
          </cell>
          <cell r="N32">
            <v>0</v>
          </cell>
          <cell r="O32">
            <v>0</v>
          </cell>
          <cell r="P32">
            <v>0</v>
          </cell>
          <cell r="Q32">
            <v>0</v>
          </cell>
          <cell r="S32">
            <v>0</v>
          </cell>
          <cell r="T32">
            <v>0</v>
          </cell>
          <cell r="U32">
            <v>0</v>
          </cell>
          <cell r="V32">
            <v>0</v>
          </cell>
          <cell r="W32">
            <v>0</v>
          </cell>
          <cell r="X32">
            <v>0</v>
          </cell>
          <cell r="Y32">
            <v>0</v>
          </cell>
          <cell r="Z32">
            <v>0</v>
          </cell>
          <cell r="AA32">
            <v>0</v>
          </cell>
          <cell r="AC32">
            <v>0</v>
          </cell>
          <cell r="AD32">
            <v>0</v>
          </cell>
          <cell r="AE32">
            <v>0</v>
          </cell>
          <cell r="AF32">
            <v>0</v>
          </cell>
          <cell r="AH32">
            <v>37490.175307685873</v>
          </cell>
          <cell r="AI32">
            <v>0</v>
          </cell>
          <cell r="AJ32">
            <v>24699.334692314071</v>
          </cell>
          <cell r="AK32">
            <v>46387.33</v>
          </cell>
        </row>
        <row r="33">
          <cell r="B33" t="str">
            <v>Youth FSP</v>
          </cell>
          <cell r="C33" t="str">
            <v>MHS009</v>
          </cell>
          <cell r="D33">
            <v>241827.41</v>
          </cell>
          <cell r="E33">
            <v>194525.82044729573</v>
          </cell>
          <cell r="F33">
            <v>0</v>
          </cell>
          <cell r="G33">
            <v>33116.220597557636</v>
          </cell>
          <cell r="H33">
            <v>14185.368955146634</v>
          </cell>
          <cell r="I33">
            <v>0</v>
          </cell>
          <cell r="J33">
            <v>1</v>
          </cell>
          <cell r="K33">
            <v>0</v>
          </cell>
          <cell r="L33">
            <v>0</v>
          </cell>
          <cell r="M33">
            <v>0</v>
          </cell>
          <cell r="N33">
            <v>194525.82044729573</v>
          </cell>
          <cell r="O33">
            <v>0</v>
          </cell>
          <cell r="P33">
            <v>33116.220597557636</v>
          </cell>
          <cell r="Q33">
            <v>14185.368955146634</v>
          </cell>
          <cell r="S33">
            <v>0</v>
          </cell>
          <cell r="T33">
            <v>0</v>
          </cell>
          <cell r="U33">
            <v>0</v>
          </cell>
          <cell r="V33">
            <v>0</v>
          </cell>
          <cell r="W33">
            <v>0</v>
          </cell>
          <cell r="X33">
            <v>0</v>
          </cell>
          <cell r="Y33">
            <v>0</v>
          </cell>
          <cell r="Z33">
            <v>0</v>
          </cell>
          <cell r="AA33">
            <v>0</v>
          </cell>
          <cell r="AC33">
            <v>0</v>
          </cell>
          <cell r="AD33">
            <v>0</v>
          </cell>
          <cell r="AE33">
            <v>0</v>
          </cell>
          <cell r="AF33">
            <v>0</v>
          </cell>
          <cell r="AH33">
            <v>0</v>
          </cell>
          <cell r="AI33">
            <v>0</v>
          </cell>
          <cell r="AJ33">
            <v>0</v>
          </cell>
          <cell r="AK33">
            <v>0</v>
          </cell>
        </row>
        <row r="34">
          <cell r="B34" t="str">
            <v>Adults FSP Program</v>
          </cell>
          <cell r="C34" t="str">
            <v>MHS015</v>
          </cell>
          <cell r="D34">
            <v>125621.96999999997</v>
          </cell>
          <cell r="E34">
            <v>125621.96999999997</v>
          </cell>
          <cell r="F34">
            <v>0</v>
          </cell>
          <cell r="G34">
            <v>0</v>
          </cell>
          <cell r="H34">
            <v>0</v>
          </cell>
          <cell r="I34">
            <v>0</v>
          </cell>
          <cell r="J34">
            <v>0</v>
          </cell>
          <cell r="K34">
            <v>0</v>
          </cell>
          <cell r="L34">
            <v>1</v>
          </cell>
          <cell r="M34">
            <v>0</v>
          </cell>
          <cell r="N34">
            <v>0</v>
          </cell>
          <cell r="O34">
            <v>0</v>
          </cell>
          <cell r="P34">
            <v>0</v>
          </cell>
          <cell r="Q34">
            <v>0</v>
          </cell>
          <cell r="S34">
            <v>0</v>
          </cell>
          <cell r="T34">
            <v>0</v>
          </cell>
          <cell r="U34">
            <v>0</v>
          </cell>
          <cell r="V34">
            <v>0</v>
          </cell>
          <cell r="W34">
            <v>0</v>
          </cell>
          <cell r="X34">
            <v>125621.96999999997</v>
          </cell>
          <cell r="Y34">
            <v>0</v>
          </cell>
          <cell r="Z34">
            <v>0</v>
          </cell>
          <cell r="AA34">
            <v>0</v>
          </cell>
          <cell r="AC34">
            <v>0</v>
          </cell>
          <cell r="AD34">
            <v>0</v>
          </cell>
          <cell r="AE34">
            <v>0</v>
          </cell>
          <cell r="AF34">
            <v>0</v>
          </cell>
          <cell r="AH34">
            <v>0</v>
          </cell>
          <cell r="AI34">
            <v>0</v>
          </cell>
          <cell r="AJ34">
            <v>0</v>
          </cell>
          <cell r="AK34">
            <v>0</v>
          </cell>
        </row>
        <row r="35">
          <cell r="B35" t="str">
            <v>Adults FSP Program</v>
          </cell>
          <cell r="C35" t="str">
            <v>MHS037</v>
          </cell>
          <cell r="D35">
            <v>666559.57999999996</v>
          </cell>
          <cell r="E35">
            <v>395134.29273706611</v>
          </cell>
          <cell r="F35">
            <v>0</v>
          </cell>
          <cell r="G35">
            <v>258927.5127110109</v>
          </cell>
          <cell r="H35">
            <v>12497.774551923003</v>
          </cell>
          <cell r="I35">
            <v>0</v>
          </cell>
          <cell r="J35">
            <v>0</v>
          </cell>
          <cell r="K35">
            <v>0</v>
          </cell>
          <cell r="L35">
            <v>1</v>
          </cell>
          <cell r="M35">
            <v>0</v>
          </cell>
          <cell r="N35">
            <v>0</v>
          </cell>
          <cell r="O35">
            <v>0</v>
          </cell>
          <cell r="P35">
            <v>0</v>
          </cell>
          <cell r="Q35">
            <v>0</v>
          </cell>
          <cell r="S35">
            <v>0</v>
          </cell>
          <cell r="T35">
            <v>0</v>
          </cell>
          <cell r="U35">
            <v>0</v>
          </cell>
          <cell r="V35">
            <v>0</v>
          </cell>
          <cell r="W35">
            <v>0</v>
          </cell>
          <cell r="X35">
            <v>395134.29273706611</v>
          </cell>
          <cell r="Y35">
            <v>0</v>
          </cell>
          <cell r="Z35">
            <v>258927.5127110109</v>
          </cell>
          <cell r="AA35">
            <v>12497.774551923003</v>
          </cell>
          <cell r="AC35">
            <v>0</v>
          </cell>
          <cell r="AD35">
            <v>0</v>
          </cell>
          <cell r="AE35">
            <v>0</v>
          </cell>
          <cell r="AF35">
            <v>0</v>
          </cell>
          <cell r="AH35">
            <v>0</v>
          </cell>
          <cell r="AI35">
            <v>0</v>
          </cell>
          <cell r="AJ35">
            <v>0</v>
          </cell>
          <cell r="AK35">
            <v>0</v>
          </cell>
        </row>
        <row r="36">
          <cell r="B36" t="str">
            <v>Transitional Age Youth (TAY) Full Service Partnership (FSP) Outpatient Program</v>
          </cell>
          <cell r="C36" t="str">
            <v>MHS038</v>
          </cell>
          <cell r="D36">
            <v>612503.88999999955</v>
          </cell>
          <cell r="E36">
            <v>79861.643428697542</v>
          </cell>
          <cell r="F36">
            <v>0</v>
          </cell>
          <cell r="G36">
            <v>512860.58087721403</v>
          </cell>
          <cell r="H36">
            <v>19781.665694087969</v>
          </cell>
          <cell r="I36">
            <v>0</v>
          </cell>
          <cell r="J36">
            <v>0</v>
          </cell>
          <cell r="K36">
            <v>1</v>
          </cell>
          <cell r="L36">
            <v>0</v>
          </cell>
          <cell r="M36">
            <v>0</v>
          </cell>
          <cell r="N36">
            <v>0</v>
          </cell>
          <cell r="O36">
            <v>0</v>
          </cell>
          <cell r="P36">
            <v>0</v>
          </cell>
          <cell r="Q36">
            <v>0</v>
          </cell>
          <cell r="S36">
            <v>79861.643428697542</v>
          </cell>
          <cell r="T36">
            <v>0</v>
          </cell>
          <cell r="U36">
            <v>512860.58087721403</v>
          </cell>
          <cell r="V36">
            <v>19781.665694087969</v>
          </cell>
          <cell r="W36">
            <v>0</v>
          </cell>
          <cell r="X36">
            <v>0</v>
          </cell>
          <cell r="Y36">
            <v>0</v>
          </cell>
          <cell r="Z36">
            <v>0</v>
          </cell>
          <cell r="AA36">
            <v>0</v>
          </cell>
          <cell r="AC36">
            <v>0</v>
          </cell>
          <cell r="AD36">
            <v>0</v>
          </cell>
          <cell r="AE36">
            <v>0</v>
          </cell>
          <cell r="AF36">
            <v>0</v>
          </cell>
          <cell r="AH36">
            <v>0</v>
          </cell>
          <cell r="AI36">
            <v>0</v>
          </cell>
          <cell r="AJ36">
            <v>0</v>
          </cell>
          <cell r="AK36">
            <v>0</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tabSelected="1" zoomScale="70" zoomScaleNormal="70" workbookViewId="0">
      <selection activeCell="A56" sqref="A56:XFD1048576"/>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8"/>
      <c r="C1" s="458"/>
      <c r="D1" s="458"/>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31" t="s">
        <v>1</v>
      </c>
      <c r="C7" s="431"/>
      <c r="D7" s="9" t="str">
        <f>IF(ISBLANK('1. Information'!D8),"",'1. Information'!D8)</f>
        <v>Ventura</v>
      </c>
      <c r="F7" s="94" t="s">
        <v>2</v>
      </c>
      <c r="G7" s="109">
        <f>IF(ISBLANK('1. Information'!D7),"",'1. Information'!D7)</f>
        <v>43465</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7" t="s">
        <v>30</v>
      </c>
      <c r="G12" s="457"/>
      <c r="H12" s="457"/>
      <c r="I12" s="457"/>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1.1236458333333299" bottom="0.75" header="0.3" footer="0.3"/>
  <pageSetup scale="41" fitToWidth="0" fitToHeight="0" orientation="landscape" r:id="rId1"/>
  <headerFooter>
    <oddFooter>&amp;C&amp;"Arial,Regular"&amp;14Page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tabSelected="1" topLeftCell="A46" zoomScale="70" zoomScaleNormal="70" workbookViewId="0">
      <selection activeCell="A56" sqref="A56:XFD1048576"/>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31" t="s">
        <v>1</v>
      </c>
      <c r="C7" s="431"/>
      <c r="D7" s="9" t="str">
        <f>IF(ISBLANK('1. Information'!D8),"",'1. Information'!D8)</f>
        <v>Ventura</v>
      </c>
      <c r="E7" s="3"/>
      <c r="F7" s="97" t="s">
        <v>178</v>
      </c>
      <c r="G7" s="109">
        <f>IF(ISBLANK('1. Information'!D7),"",'1. Information'!D7)</f>
        <v>43465</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t="str">
        <f t="shared" ref="C13:C42" si="0">IF(F13&lt;&gt;0,VLOOKUP($D$7,Info_County_Code,2,FALSE),"")</f>
        <v/>
      </c>
      <c r="D13" s="149"/>
      <c r="E13" s="337"/>
      <c r="F13" s="336"/>
      <c r="G13" s="151"/>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1.1236458333333299" bottom="0.75" header="0.3" footer="0.3"/>
  <pageSetup scale="41" orientation="landscape" r:id="rId1"/>
  <headerFooter>
    <oddFooter>&amp;C&amp;"Arial,Regular"&amp;14Page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tabSelected="1" topLeftCell="A43" zoomScale="85" zoomScaleNormal="85" workbookViewId="0">
      <selection activeCell="A56" sqref="A56:XFD1048576"/>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8"/>
      <c r="C1" s="458"/>
      <c r="D1" s="458"/>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31" t="s">
        <v>1</v>
      </c>
      <c r="C7" s="431"/>
      <c r="D7" s="9" t="str">
        <f>IF(ISBLANK('1. Information'!D8),"",'1. Information'!D8)</f>
        <v>Ventura</v>
      </c>
      <c r="F7" s="94" t="s">
        <v>2</v>
      </c>
      <c r="G7" s="38">
        <f>IF(ISBLANK('1. Information'!D7),"",'1. Information'!D7)</f>
        <v>43465</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90"/>
      <c r="G13" s="92"/>
      <c r="H13" s="92"/>
      <c r="I13" s="91">
        <f>SUM(G13:H13)</f>
        <v>0</v>
      </c>
    </row>
    <row r="14" spans="2:9" x14ac:dyDescent="0.2">
      <c r="B14" s="101">
        <v>2</v>
      </c>
      <c r="C14" s="132" t="str">
        <f t="shared" si="0"/>
        <v/>
      </c>
      <c r="D14" s="379"/>
      <c r="E14" s="149"/>
      <c r="F14" s="390"/>
      <c r="G14" s="92"/>
      <c r="H14" s="92"/>
      <c r="I14" s="91">
        <f t="shared" ref="I14:I52" si="1">SUM(G14:H14)</f>
        <v>0</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1.1236458333333299" bottom="0.75" header="0.3" footer="0.3"/>
  <pageSetup scale="41" orientation="landscape" r:id="rId1"/>
  <headerFooter>
    <oddFooter>&amp;C&amp;"Arial,Regular"&amp;14Page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tabSelected="1" zoomScale="85" zoomScaleNormal="85" workbookViewId="0">
      <selection activeCell="A56" sqref="A56:XFD1048576"/>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25" right="0.25" top="1.1236458333333299" bottom="0.75" header="0.3" footer="0.3"/>
  <pageSetup scale="41" orientation="landscape" r:id="rId1"/>
  <headerFooter>
    <oddFooter>&amp;C&amp;"Arial,Regular"&amp;14Page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6" t="s">
        <v>169</v>
      </c>
      <c r="B1" s="467"/>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69" t="s">
        <v>198</v>
      </c>
      <c r="B2" s="469"/>
      <c r="C2" s="469"/>
      <c r="D2" s="469"/>
      <c r="E2" s="469"/>
    </row>
    <row r="3" spans="1:7" ht="14.25" customHeight="1" x14ac:dyDescent="0.25">
      <c r="A3" s="469" t="s">
        <v>307</v>
      </c>
      <c r="B3" s="469"/>
      <c r="C3" s="469"/>
      <c r="D3" s="469"/>
      <c r="E3" s="469"/>
    </row>
    <row r="4" spans="1:7" ht="14.25" customHeight="1" thickBot="1" x14ac:dyDescent="0.3">
      <c r="A4" s="173"/>
      <c r="B4" s="174"/>
      <c r="C4" s="175"/>
      <c r="D4" s="176"/>
    </row>
    <row r="5" spans="1:7" ht="14.25" customHeight="1" x14ac:dyDescent="0.25">
      <c r="A5" s="177" t="s">
        <v>199</v>
      </c>
      <c r="B5" s="468" t="s">
        <v>200</v>
      </c>
      <c r="C5" s="468"/>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topLeftCell="A4" zoomScale="70" zoomScaleNormal="70" zoomScaleSheetLayoutView="70" workbookViewId="0">
      <selection activeCell="Q1" sqref="Q1:XFD1048576"/>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7" t="s">
        <v>280</v>
      </c>
      <c r="C7" s="425"/>
      <c r="F7" s="224"/>
    </row>
    <row r="8" spans="1:7" ht="55.5" customHeight="1" x14ac:dyDescent="0.2">
      <c r="B8" s="428" t="s">
        <v>281</v>
      </c>
      <c r="C8" s="429"/>
      <c r="F8" s="222"/>
      <c r="G8" s="224"/>
    </row>
    <row r="9" spans="1:7" ht="39.950000000000003" customHeight="1" x14ac:dyDescent="0.2">
      <c r="B9" s="428" t="s">
        <v>279</v>
      </c>
      <c r="C9" s="429"/>
      <c r="E9" s="222"/>
      <c r="F9" s="223"/>
    </row>
    <row r="10" spans="1:7" ht="39.950000000000003" customHeight="1" x14ac:dyDescent="0.2">
      <c r="B10" s="429" t="s">
        <v>264</v>
      </c>
      <c r="C10" s="429"/>
      <c r="D10" s="221"/>
    </row>
    <row r="11" spans="1:7" x14ac:dyDescent="0.2"/>
    <row r="12" spans="1:7" ht="29.25" customHeight="1" x14ac:dyDescent="0.2">
      <c r="B12" s="425" t="s">
        <v>266</v>
      </c>
      <c r="C12" s="426" t="s">
        <v>272</v>
      </c>
    </row>
    <row r="13" spans="1:7" ht="18" customHeight="1" x14ac:dyDescent="0.2">
      <c r="B13" s="425"/>
      <c r="C13" s="425"/>
    </row>
    <row r="14" spans="1:7" ht="60.75" customHeight="1" x14ac:dyDescent="0.2">
      <c r="B14" s="422" t="s">
        <v>267</v>
      </c>
      <c r="C14" s="381" t="s">
        <v>311</v>
      </c>
    </row>
    <row r="15" spans="1:7" ht="68.25" customHeight="1" x14ac:dyDescent="0.2">
      <c r="B15" s="423"/>
      <c r="C15" s="382" t="s">
        <v>321</v>
      </c>
    </row>
    <row r="16" spans="1:7" ht="66" customHeight="1" x14ac:dyDescent="0.2">
      <c r="B16" s="424"/>
      <c r="C16" s="381"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tabSelected="1" zoomScale="80" zoomScaleNormal="80" workbookViewId="0">
      <selection activeCell="A56" sqref="A56:XFD1048576"/>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1"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43465</v>
      </c>
    </row>
    <row r="8" spans="1:5" ht="34.5" customHeight="1" x14ac:dyDescent="0.2">
      <c r="A8" s="99"/>
      <c r="B8" s="130">
        <v>2</v>
      </c>
      <c r="C8" s="102" t="s">
        <v>1</v>
      </c>
      <c r="D8" s="365" t="s">
        <v>98</v>
      </c>
    </row>
    <row r="9" spans="1:5" ht="34.5" customHeight="1" x14ac:dyDescent="0.2">
      <c r="A9" s="99"/>
      <c r="B9" s="130">
        <v>3</v>
      </c>
      <c r="C9" s="103" t="s">
        <v>125</v>
      </c>
      <c r="D9" s="104">
        <f>IF(ISBLANK(D8),"",VLOOKUP(D8,Info_County_Code,2))</f>
        <v>56</v>
      </c>
    </row>
    <row r="10" spans="1:5" ht="34.5" customHeight="1" x14ac:dyDescent="0.2">
      <c r="A10" s="99"/>
      <c r="B10" s="130">
        <v>4</v>
      </c>
      <c r="C10" s="102" t="s">
        <v>126</v>
      </c>
      <c r="D10" s="418" t="s">
        <v>322</v>
      </c>
    </row>
    <row r="11" spans="1:5" ht="34.5" customHeight="1" x14ac:dyDescent="0.2">
      <c r="A11" s="99"/>
      <c r="B11" s="130">
        <v>5</v>
      </c>
      <c r="C11" s="102" t="s">
        <v>127</v>
      </c>
      <c r="D11" s="365" t="s">
        <v>323</v>
      </c>
    </row>
    <row r="12" spans="1:5" ht="34.5" customHeight="1" x14ac:dyDescent="0.2">
      <c r="A12" s="99"/>
      <c r="B12" s="130">
        <v>6</v>
      </c>
      <c r="C12" s="102" t="s">
        <v>128</v>
      </c>
      <c r="D12" s="244">
        <v>93036</v>
      </c>
    </row>
    <row r="13" spans="1:5" ht="34.5" customHeight="1" x14ac:dyDescent="0.2">
      <c r="A13" s="99"/>
      <c r="B13" s="130">
        <v>7</v>
      </c>
      <c r="C13" s="105" t="s">
        <v>185</v>
      </c>
      <c r="D13" s="106" t="str">
        <f>IF(ISBLANK(D8),"",VLOOKUP(D8,County_Population,5,FALSE))</f>
        <v>Yes</v>
      </c>
    </row>
    <row r="14" spans="1:5" ht="34.5" customHeight="1" x14ac:dyDescent="0.2">
      <c r="A14" s="99"/>
      <c r="B14" s="130">
        <v>8</v>
      </c>
      <c r="C14" s="102" t="s">
        <v>124</v>
      </c>
      <c r="D14" s="365" t="s">
        <v>324</v>
      </c>
    </row>
    <row r="15" spans="1:5" ht="34.5" customHeight="1" x14ac:dyDescent="0.2">
      <c r="A15" s="99"/>
      <c r="B15" s="130">
        <v>9</v>
      </c>
      <c r="C15" s="383" t="s">
        <v>193</v>
      </c>
      <c r="D15" s="419" t="s">
        <v>325</v>
      </c>
    </row>
    <row r="16" spans="1:5" ht="34.5" customHeight="1" x14ac:dyDescent="0.2">
      <c r="A16" s="99"/>
      <c r="B16" s="130">
        <v>10</v>
      </c>
      <c r="C16" s="383" t="s">
        <v>211</v>
      </c>
      <c r="D16" s="419" t="s">
        <v>326</v>
      </c>
    </row>
    <row r="17" spans="1:4" ht="34.5" customHeight="1" x14ac:dyDescent="0.2">
      <c r="A17" s="99"/>
      <c r="B17" s="130">
        <v>11</v>
      </c>
      <c r="C17" s="102" t="s">
        <v>194</v>
      </c>
      <c r="D17" s="420" t="s">
        <v>327</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236458333333299" bottom="0.75" header="0.3" footer="0.3"/>
  <pageSetup scale="4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tabSelected="1" zoomScale="55" zoomScaleNormal="55" zoomScaleSheetLayoutView="40" workbookViewId="0">
      <pane xSplit="3" ySplit="20" topLeftCell="D40" activePane="bottomRight" state="frozen"/>
      <selection activeCell="A56" sqref="A56:XFD1048576"/>
      <selection pane="topRight" activeCell="A56" sqref="A56:XFD1048576"/>
      <selection pane="bottomLeft" activeCell="A56" sqref="A56:XFD1048576"/>
      <selection pane="bottomRight" activeCell="A56" sqref="A56:XFD1048576"/>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Ventura</v>
      </c>
      <c r="F7" s="360" t="s">
        <v>2</v>
      </c>
      <c r="G7" s="259">
        <f>IF(ISBLANK('1. Information'!D7),"",'1. Information'!D7)</f>
        <v>43465</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507416.49</v>
      </c>
      <c r="E15" s="260"/>
      <c r="F15" s="260"/>
      <c r="G15" s="90"/>
      <c r="H15" s="260"/>
      <c r="I15" s="260"/>
      <c r="J15" s="260"/>
      <c r="K15" s="260"/>
      <c r="L15" s="260"/>
      <c r="M15" s="260"/>
      <c r="N15" s="260"/>
    </row>
    <row r="16" spans="2:14" x14ac:dyDescent="0.25">
      <c r="B16" s="24">
        <v>2</v>
      </c>
      <c r="C16" s="332" t="s">
        <v>306</v>
      </c>
      <c r="D16" s="394">
        <v>9574497</v>
      </c>
      <c r="E16" s="260"/>
      <c r="F16" s="260"/>
      <c r="G16" s="90"/>
      <c r="H16" s="260"/>
      <c r="I16" s="260"/>
      <c r="J16" s="260"/>
      <c r="K16" s="260"/>
      <c r="L16" s="260"/>
      <c r="M16" s="260"/>
      <c r="N16" s="260"/>
    </row>
    <row r="17" spans="2:14" x14ac:dyDescent="0.25">
      <c r="B17" s="24">
        <v>3</v>
      </c>
      <c r="C17" s="332" t="s">
        <v>312</v>
      </c>
      <c r="D17" s="91">
        <f>D16+M22+M27+SUM('9. Adjustment (MHSA)'!F83:F112)</f>
        <v>9699081</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c r="E22" s="92"/>
      <c r="F22" s="91"/>
      <c r="G22" s="327"/>
      <c r="H22" s="327"/>
      <c r="I22" s="334"/>
      <c r="J22" s="327"/>
      <c r="K22" s="334"/>
      <c r="L22" s="334"/>
      <c r="M22" s="264">
        <f>(-D22-E22)</f>
        <v>0</v>
      </c>
      <c r="N22" s="333">
        <f>SUM(D22:M22)</f>
        <v>0</v>
      </c>
    </row>
    <row r="23" spans="2:14" ht="24" customHeight="1" x14ac:dyDescent="0.25">
      <c r="B23" s="24">
        <v>5</v>
      </c>
      <c r="C23" s="332" t="s">
        <v>277</v>
      </c>
      <c r="D23" s="264">
        <f>D15*0.76</f>
        <v>385636.53240000003</v>
      </c>
      <c r="E23" s="380">
        <f>D15*0.19</f>
        <v>96409.133100000006</v>
      </c>
      <c r="F23" s="261">
        <f>D15*0.05</f>
        <v>25370.824500000002</v>
      </c>
      <c r="G23" s="327"/>
      <c r="H23" s="327"/>
      <c r="I23" s="327"/>
      <c r="J23" s="334"/>
      <c r="K23" s="327"/>
      <c r="L23" s="327"/>
      <c r="M23" s="327"/>
      <c r="N23" s="333">
        <f>SUM(D23:M23)</f>
        <v>507416.49</v>
      </c>
    </row>
    <row r="24" spans="2:14" ht="24" customHeight="1" x14ac:dyDescent="0.25">
      <c r="B24" s="24">
        <v>6</v>
      </c>
      <c r="C24" s="266" t="s">
        <v>25</v>
      </c>
      <c r="D24" s="339">
        <f t="shared" ref="D24:L24" si="0">SUM(D22:D23)</f>
        <v>385636.53240000003</v>
      </c>
      <c r="E24" s="339">
        <f t="shared" si="0"/>
        <v>96409.133100000006</v>
      </c>
      <c r="F24" s="339">
        <f t="shared" si="0"/>
        <v>25370.824500000002</v>
      </c>
      <c r="G24" s="339">
        <f t="shared" si="0"/>
        <v>0</v>
      </c>
      <c r="H24" s="339">
        <f t="shared" si="0"/>
        <v>0</v>
      </c>
      <c r="I24" s="339">
        <f t="shared" si="0"/>
        <v>0</v>
      </c>
      <c r="J24" s="339">
        <f t="shared" si="0"/>
        <v>0</v>
      </c>
      <c r="K24" s="339">
        <f t="shared" si="0"/>
        <v>0</v>
      </c>
      <c r="L24" s="339">
        <f t="shared" si="0"/>
        <v>0</v>
      </c>
      <c r="M24" s="339">
        <v>0</v>
      </c>
      <c r="N24" s="371">
        <f>SUM(D24:M24)</f>
        <v>507416.49</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-1902978.1099999999</v>
      </c>
      <c r="E27" s="334"/>
      <c r="F27" s="334"/>
      <c r="G27" s="264">
        <f>'3. CSS'!F20</f>
        <v>128336.44</v>
      </c>
      <c r="H27" s="264">
        <f>'3. CSS'!F21</f>
        <v>1650057.67</v>
      </c>
      <c r="I27" s="334"/>
      <c r="J27" s="334"/>
      <c r="K27" s="334"/>
      <c r="L27" s="334"/>
      <c r="M27" s="264">
        <f>'3. CSS'!F22</f>
        <v>124584</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25091729.665062789</v>
      </c>
      <c r="E30" s="264">
        <f>'4. PEI'!F21</f>
        <v>5680750.6063026898</v>
      </c>
      <c r="F30" s="264">
        <f>'5. INN'!F22</f>
        <v>757135.27</v>
      </c>
      <c r="G30" s="264">
        <f>'6. WET'!F20</f>
        <v>505912.43999999994</v>
      </c>
      <c r="H30" s="264">
        <f>'7. CFTN'!F21</f>
        <v>1650057.68</v>
      </c>
      <c r="I30" s="334"/>
      <c r="J30" s="264">
        <f>'8. WET RP, HP'!E14</f>
        <v>0</v>
      </c>
      <c r="K30" s="264">
        <f>'4. PEI'!F17</f>
        <v>59501</v>
      </c>
      <c r="L30" s="264">
        <f>'8. WET RP, HP'!E15</f>
        <v>0</v>
      </c>
      <c r="M30" s="334"/>
      <c r="N30" s="264">
        <f t="shared" ref="N30:N35" si="1">SUM(D30:M30)</f>
        <v>33745086.661365479</v>
      </c>
    </row>
    <row r="31" spans="2:14" ht="24" customHeight="1" x14ac:dyDescent="0.25">
      <c r="B31" s="24">
        <v>9</v>
      </c>
      <c r="C31" s="262" t="s">
        <v>5</v>
      </c>
      <c r="D31" s="261">
        <f>'3. CSS'!G25</f>
        <v>13494562.963383719</v>
      </c>
      <c r="E31" s="261">
        <f>'4. PEI'!G21</f>
        <v>2215386.37</v>
      </c>
      <c r="F31" s="261">
        <f>'5. INN'!G22</f>
        <v>213240.07</v>
      </c>
      <c r="G31" s="261">
        <f>'6. WET'!G20</f>
        <v>0</v>
      </c>
      <c r="H31" s="261">
        <f>'7. CFTN'!G21</f>
        <v>0</v>
      </c>
      <c r="I31" s="7"/>
      <c r="J31" s="261">
        <f>'8. WET RP, HP'!F14</f>
        <v>0</v>
      </c>
      <c r="K31" s="261">
        <f>'4. PEI'!G17</f>
        <v>0</v>
      </c>
      <c r="L31" s="261">
        <f>'8. WET RP, HP'!F15</f>
        <v>0</v>
      </c>
      <c r="M31" s="327"/>
      <c r="N31" s="264">
        <f t="shared" si="1"/>
        <v>15923189.403383721</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3601726.0030756616</v>
      </c>
      <c r="E33" s="261">
        <f>'4. PEI'!I21</f>
        <v>600000</v>
      </c>
      <c r="F33" s="261">
        <f>'5. INN'!I22</f>
        <v>0</v>
      </c>
      <c r="G33" s="261">
        <f>'6. WET'!I20</f>
        <v>0</v>
      </c>
      <c r="H33" s="261">
        <f>'7. CFTN'!I21</f>
        <v>0</v>
      </c>
      <c r="I33" s="7"/>
      <c r="J33" s="261">
        <f>'8. WET RP, HP'!H14</f>
        <v>0</v>
      </c>
      <c r="K33" s="261">
        <f>'4. PEI'!I17</f>
        <v>0</v>
      </c>
      <c r="L33" s="261">
        <f>'8. WET RP, HP'!H15</f>
        <v>0</v>
      </c>
      <c r="M33" s="327"/>
      <c r="N33" s="264">
        <f t="shared" si="1"/>
        <v>4201726.0030756611</v>
      </c>
    </row>
    <row r="34" spans="2:14" ht="24" customHeight="1" x14ac:dyDescent="0.25">
      <c r="B34" s="24">
        <v>12</v>
      </c>
      <c r="C34" s="262" t="s">
        <v>15</v>
      </c>
      <c r="D34" s="261">
        <f>'3. CSS'!J25</f>
        <v>5654320.7031782912</v>
      </c>
      <c r="E34" s="261">
        <f>'4. PEI'!J21</f>
        <v>1701220.97</v>
      </c>
      <c r="F34" s="261">
        <f>'5. INN'!J22</f>
        <v>0</v>
      </c>
      <c r="G34" s="261">
        <f>'6. WET'!J20</f>
        <v>126363.95</v>
      </c>
      <c r="H34" s="261">
        <f>'7. CFTN'!J21</f>
        <v>0</v>
      </c>
      <c r="I34" s="7"/>
      <c r="J34" s="261">
        <f>'8. WET RP, HP'!I14</f>
        <v>0</v>
      </c>
      <c r="K34" s="261">
        <f>'4. PEI'!J17</f>
        <v>0</v>
      </c>
      <c r="L34" s="261">
        <f>'8. WET RP, HP'!I15</f>
        <v>0</v>
      </c>
      <c r="M34" s="327"/>
      <c r="N34" s="264">
        <f t="shared" si="1"/>
        <v>7481905.6231782911</v>
      </c>
    </row>
    <row r="35" spans="2:14" ht="24" customHeight="1" x14ac:dyDescent="0.25">
      <c r="B35" s="24">
        <v>13</v>
      </c>
      <c r="C35" s="266" t="s">
        <v>25</v>
      </c>
      <c r="D35" s="267">
        <f>SUM(D30:D34)</f>
        <v>47842339.334700458</v>
      </c>
      <c r="E35" s="267">
        <f t="shared" ref="E35:L35" si="2">SUM(E30:E34)</f>
        <v>10197357.946302691</v>
      </c>
      <c r="F35" s="267">
        <f t="shared" si="2"/>
        <v>970375.34000000008</v>
      </c>
      <c r="G35" s="267">
        <f t="shared" si="2"/>
        <v>632276.3899999999</v>
      </c>
      <c r="H35" s="267">
        <f t="shared" si="2"/>
        <v>1650057.68</v>
      </c>
      <c r="I35" s="267">
        <f t="shared" si="2"/>
        <v>0</v>
      </c>
      <c r="J35" s="267">
        <f t="shared" si="2"/>
        <v>0</v>
      </c>
      <c r="K35" s="267">
        <f t="shared" si="2"/>
        <v>59501</v>
      </c>
      <c r="L35" s="267">
        <f t="shared" si="2"/>
        <v>0</v>
      </c>
      <c r="M35" s="7"/>
      <c r="N35" s="339">
        <f t="shared" si="1"/>
        <v>61351907.691003151</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575125.49</v>
      </c>
      <c r="F39" s="90"/>
      <c r="G39" s="260"/>
      <c r="H39" s="260"/>
      <c r="I39" s="260"/>
      <c r="J39" s="260"/>
      <c r="K39" s="260"/>
      <c r="L39" s="260"/>
      <c r="M39" s="260"/>
      <c r="N39" s="347"/>
    </row>
    <row r="40" spans="2:14" x14ac:dyDescent="0.25">
      <c r="B40" s="24">
        <v>15</v>
      </c>
      <c r="C40" s="358" t="s">
        <v>23</v>
      </c>
      <c r="D40" s="366">
        <f>'3. CSS'!K15+'4. PEI'!K15+'5. INN'!K19+'6. WET'!K15+'7. CFTN'!K16+'7. CFTN'!K17</f>
        <v>81141.13</v>
      </c>
      <c r="E40" s="263"/>
      <c r="F40" s="260"/>
      <c r="G40" s="260"/>
      <c r="H40" s="260"/>
      <c r="I40" s="260"/>
      <c r="J40" s="260"/>
      <c r="K40" s="260"/>
      <c r="L40" s="260"/>
      <c r="M40" s="260"/>
      <c r="N40" s="347"/>
    </row>
    <row r="41" spans="2:14" x14ac:dyDescent="0.25">
      <c r="B41" s="24">
        <v>16</v>
      </c>
      <c r="C41" s="358" t="s">
        <v>24</v>
      </c>
      <c r="D41" s="366">
        <f>'3. CSS'!K16+'4. PEI'!K16+'5. INN'!K15+'5. INN'!K18+'6. WET'!K16+'7. CFTN'!K18+'7. CFTN'!K19</f>
        <v>6054095.6999999983</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40"/>
  <sheetViews>
    <sheetView showGridLines="0" tabSelected="1" topLeftCell="A14" zoomScale="70" zoomScaleNormal="70" zoomScaleSheetLayoutView="40" zoomScalePageLayoutView="70" workbookViewId="0">
      <selection activeCell="A56" sqref="A56:XFD1048576"/>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30"/>
      <c r="C1" s="430"/>
      <c r="D1" s="430"/>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31" t="s">
        <v>1</v>
      </c>
      <c r="C7" s="431"/>
      <c r="D7" s="9" t="str">
        <f>IF(ISBLANK('1. Information'!D8),"",'1. Information'!D8)</f>
        <v>Ventura</v>
      </c>
      <c r="E7" s="281"/>
      <c r="F7" s="279" t="s">
        <v>2</v>
      </c>
      <c r="G7" s="282">
        <f>IF(ISBLANK('1. Information'!D7),"",'1. Information'!D7)</f>
        <v>43465</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41" t="s">
        <v>30</v>
      </c>
      <c r="H12" s="439"/>
      <c r="I12" s="439"/>
      <c r="J12" s="442"/>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32" t="s">
        <v>7</v>
      </c>
      <c r="D14" s="432"/>
      <c r="E14" s="432"/>
      <c r="F14" s="367"/>
      <c r="G14" s="368"/>
      <c r="H14" s="353"/>
      <c r="I14" s="290"/>
      <c r="J14" s="290"/>
      <c r="K14" s="292">
        <f>SUM(F14:J14)</f>
        <v>0</v>
      </c>
      <c r="L14"/>
    </row>
    <row r="15" spans="1:12" ht="15" customHeight="1" x14ac:dyDescent="0.25">
      <c r="A15" s="281"/>
      <c r="B15" s="277">
        <v>2</v>
      </c>
      <c r="C15" s="432" t="s">
        <v>8</v>
      </c>
      <c r="D15" s="432"/>
      <c r="E15" s="432"/>
      <c r="F15" s="367"/>
      <c r="G15" s="290"/>
      <c r="H15" s="290"/>
      <c r="I15" s="290"/>
      <c r="J15" s="290"/>
      <c r="K15" s="292">
        <f t="shared" ref="K15:K23" si="0">SUM(F15:J15)</f>
        <v>0</v>
      </c>
      <c r="L15"/>
    </row>
    <row r="16" spans="1:12" x14ac:dyDescent="0.25">
      <c r="A16" s="281"/>
      <c r="B16" s="277">
        <v>3</v>
      </c>
      <c r="C16" s="432" t="s">
        <v>129</v>
      </c>
      <c r="D16" s="432"/>
      <c r="E16" s="432"/>
      <c r="F16" s="367">
        <v>3808872.29</v>
      </c>
      <c r="G16" s="290">
        <v>693963.68</v>
      </c>
      <c r="H16" s="290"/>
      <c r="I16" s="290"/>
      <c r="J16" s="290">
        <v>228178.06</v>
      </c>
      <c r="K16" s="292">
        <f t="shared" si="0"/>
        <v>4731014.0299999993</v>
      </c>
      <c r="L16"/>
    </row>
    <row r="17" spans="1:12" x14ac:dyDescent="0.25">
      <c r="A17" s="281"/>
      <c r="B17" s="277">
        <v>4</v>
      </c>
      <c r="C17" s="446" t="s">
        <v>218</v>
      </c>
      <c r="D17" s="446"/>
      <c r="E17" s="446"/>
      <c r="F17" s="367"/>
      <c r="G17" s="290"/>
      <c r="H17" s="290"/>
      <c r="I17" s="290"/>
      <c r="J17" s="290"/>
      <c r="K17" s="292">
        <f t="shared" si="0"/>
        <v>0</v>
      </c>
      <c r="L17"/>
    </row>
    <row r="18" spans="1:12" x14ac:dyDescent="0.25">
      <c r="A18" s="281"/>
      <c r="B18" s="277">
        <v>5</v>
      </c>
      <c r="C18" s="446" t="s">
        <v>219</v>
      </c>
      <c r="D18" s="446"/>
      <c r="E18" s="446"/>
      <c r="F18" s="367"/>
      <c r="G18" s="294"/>
      <c r="H18" s="294"/>
      <c r="I18" s="294"/>
      <c r="J18" s="294"/>
      <c r="K18" s="292">
        <f t="shared" si="0"/>
        <v>0</v>
      </c>
      <c r="L18"/>
    </row>
    <row r="19" spans="1:12" x14ac:dyDescent="0.25">
      <c r="A19" s="281"/>
      <c r="B19" s="277">
        <v>6</v>
      </c>
      <c r="C19" s="432" t="s">
        <v>216</v>
      </c>
      <c r="D19" s="432"/>
      <c r="E19" s="432"/>
      <c r="F19" s="290"/>
      <c r="G19" s="294"/>
      <c r="H19" s="294"/>
      <c r="I19" s="294"/>
      <c r="J19" s="294"/>
      <c r="K19" s="293">
        <f t="shared" si="0"/>
        <v>0</v>
      </c>
      <c r="L19"/>
    </row>
    <row r="20" spans="1:12" x14ac:dyDescent="0.25">
      <c r="A20" s="283"/>
      <c r="B20" s="256">
        <v>7</v>
      </c>
      <c r="C20" s="443" t="s">
        <v>226</v>
      </c>
      <c r="D20" s="444"/>
      <c r="E20" s="445"/>
      <c r="F20" s="290">
        <v>128336.44</v>
      </c>
      <c r="G20" s="293"/>
      <c r="H20" s="293"/>
      <c r="I20" s="293"/>
      <c r="J20" s="293"/>
      <c r="K20" s="293">
        <f t="shared" si="0"/>
        <v>128336.44</v>
      </c>
      <c r="L20"/>
    </row>
    <row r="21" spans="1:12" x14ac:dyDescent="0.25">
      <c r="A21" s="283"/>
      <c r="B21" s="256">
        <v>8</v>
      </c>
      <c r="C21" s="443" t="s">
        <v>227</v>
      </c>
      <c r="D21" s="444"/>
      <c r="E21" s="445"/>
      <c r="F21" s="290">
        <v>1650057.67</v>
      </c>
      <c r="G21" s="293"/>
      <c r="H21" s="293"/>
      <c r="I21" s="293"/>
      <c r="J21" s="293"/>
      <c r="K21" s="293">
        <f t="shared" si="0"/>
        <v>1650057.67</v>
      </c>
      <c r="L21"/>
    </row>
    <row r="22" spans="1:12" x14ac:dyDescent="0.25">
      <c r="A22" s="283"/>
      <c r="B22" s="256">
        <v>9</v>
      </c>
      <c r="C22" s="443" t="s">
        <v>225</v>
      </c>
      <c r="D22" s="444"/>
      <c r="E22" s="445"/>
      <c r="F22" s="290">
        <v>124584</v>
      </c>
      <c r="G22" s="293"/>
      <c r="H22" s="293"/>
      <c r="I22" s="293"/>
      <c r="J22" s="293"/>
      <c r="K22" s="293">
        <f t="shared" si="0"/>
        <v>124584</v>
      </c>
      <c r="L22"/>
    </row>
    <row r="23" spans="1:12" x14ac:dyDescent="0.25">
      <c r="A23" s="281"/>
      <c r="B23" s="277">
        <v>10</v>
      </c>
      <c r="C23" s="432" t="s">
        <v>140</v>
      </c>
      <c r="D23" s="432"/>
      <c r="E23" s="432"/>
      <c r="F23" s="294">
        <f>SUM(G33:G132)</f>
        <v>21282857.37506279</v>
      </c>
      <c r="G23" s="293">
        <f>SUM(H33:H132)</f>
        <v>12800599.28338372</v>
      </c>
      <c r="H23" s="293">
        <f>SUM(I33:I132)</f>
        <v>0</v>
      </c>
      <c r="I23" s="293">
        <f>SUM(J33:J132)</f>
        <v>3601726.0030756616</v>
      </c>
      <c r="J23" s="293">
        <f>SUM(K33:K132)</f>
        <v>5426142.6431782916</v>
      </c>
      <c r="K23" s="293">
        <f t="shared" si="0"/>
        <v>43111325.304700457</v>
      </c>
      <c r="L23"/>
    </row>
    <row r="24" spans="1:12" ht="30.95" customHeight="1" x14ac:dyDescent="0.25">
      <c r="A24" s="281"/>
      <c r="B24" s="277">
        <v>11</v>
      </c>
      <c r="C24" s="433" t="s">
        <v>223</v>
      </c>
      <c r="D24" s="434"/>
      <c r="E24" s="435"/>
      <c r="F24" s="7">
        <f>SUM(F14:F16,F18:F23)</f>
        <v>26994707.775062792</v>
      </c>
      <c r="G24" s="7">
        <f>SUM(G14:G16,G18:G23)</f>
        <v>13494562.963383719</v>
      </c>
      <c r="H24" s="43">
        <f t="shared" ref="H24:J24" si="1">SUM(H14:H16,H18:H23)</f>
        <v>0</v>
      </c>
      <c r="I24" s="7">
        <f t="shared" si="1"/>
        <v>3601726.0030756616</v>
      </c>
      <c r="J24" s="7">
        <f t="shared" si="1"/>
        <v>5654320.7031782912</v>
      </c>
      <c r="K24" s="7">
        <f>SUM(K14:K16,K18:K23)</f>
        <v>49745317.444700457</v>
      </c>
      <c r="L24"/>
    </row>
    <row r="25" spans="1:12" s="325" customFormat="1" ht="30.95" customHeight="1" x14ac:dyDescent="0.25">
      <c r="A25" s="281"/>
      <c r="B25" s="277">
        <v>12</v>
      </c>
      <c r="C25" s="440" t="s">
        <v>283</v>
      </c>
      <c r="D25" s="440"/>
      <c r="E25" s="440"/>
      <c r="F25" s="7">
        <f>SUM(F14:F16,F18,F23)</f>
        <v>25091729.665062789</v>
      </c>
      <c r="G25" s="299">
        <f t="shared" ref="G25:J25" si="2">SUM(G14:G16,G18,G23)</f>
        <v>13494562.963383719</v>
      </c>
      <c r="H25" s="299">
        <f t="shared" si="2"/>
        <v>0</v>
      </c>
      <c r="I25" s="299">
        <f t="shared" si="2"/>
        <v>3601726.0030756616</v>
      </c>
      <c r="J25" s="7">
        <f t="shared" si="2"/>
        <v>5654320.7031782912</v>
      </c>
      <c r="K25" s="7">
        <f>SUM(K14:K16,K18,K23)</f>
        <v>47842339.334700458</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9" t="s">
        <v>166</v>
      </c>
      <c r="E31" s="439"/>
      <c r="F31" s="439"/>
      <c r="G31" s="344" t="s">
        <v>28</v>
      </c>
      <c r="H31" s="436" t="s">
        <v>30</v>
      </c>
      <c r="I31" s="437"/>
      <c r="J31" s="437"/>
      <c r="K31" s="438"/>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x14ac:dyDescent="0.25">
      <c r="A33" s="281"/>
      <c r="B33" s="295">
        <v>1</v>
      </c>
      <c r="C33" s="296">
        <f t="shared" ref="C33:C64" si="3">IF(L33&lt;&gt;0,VLOOKUP($D$7,Info_County_Code,2,FALSE),"")</f>
        <v>56</v>
      </c>
      <c r="D33" s="416" t="s">
        <v>346</v>
      </c>
      <c r="E33" s="395" t="s">
        <v>370</v>
      </c>
      <c r="F33" s="297" t="s">
        <v>102</v>
      </c>
      <c r="G33" s="291">
        <v>194510.68044729574</v>
      </c>
      <c r="H33" s="291">
        <v>33116.220597557636</v>
      </c>
      <c r="I33" s="291"/>
      <c r="J33" s="318"/>
      <c r="K33" s="291">
        <v>16608.758955146634</v>
      </c>
      <c r="L33" s="293">
        <f>SUM(G33:K33)</f>
        <v>244235.66</v>
      </c>
    </row>
    <row r="34" spans="1:12" s="359" customFormat="1" x14ac:dyDescent="0.25">
      <c r="A34" s="281"/>
      <c r="B34" s="295">
        <v>2</v>
      </c>
      <c r="C34" s="296">
        <f t="shared" si="3"/>
        <v>56</v>
      </c>
      <c r="D34" s="416" t="s">
        <v>369</v>
      </c>
      <c r="E34" s="395" t="s">
        <v>371</v>
      </c>
      <c r="F34" s="297" t="s">
        <v>102</v>
      </c>
      <c r="G34" s="291">
        <v>340448.83339046338</v>
      </c>
      <c r="H34" s="291">
        <v>811007.3941954202</v>
      </c>
      <c r="I34" s="291"/>
      <c r="J34" s="318">
        <v>27.37</v>
      </c>
      <c r="K34" s="291">
        <v>38067.918369032828</v>
      </c>
      <c r="L34" s="293">
        <f t="shared" ref="L34:L97" si="4">SUM(G34:K34)</f>
        <v>1189551.5159549166</v>
      </c>
    </row>
    <row r="35" spans="1:12" s="359" customFormat="1" x14ac:dyDescent="0.25">
      <c r="A35" s="281"/>
      <c r="B35" s="295">
        <v>3</v>
      </c>
      <c r="C35" s="296">
        <f t="shared" si="3"/>
        <v>56</v>
      </c>
      <c r="D35" s="416" t="s">
        <v>347</v>
      </c>
      <c r="E35" s="395" t="s">
        <v>372</v>
      </c>
      <c r="F35" s="297" t="s">
        <v>102</v>
      </c>
      <c r="G35" s="291">
        <v>1959161.2768935037</v>
      </c>
      <c r="H35" s="291">
        <v>792126.94695316884</v>
      </c>
      <c r="I35" s="291"/>
      <c r="J35" s="318">
        <v>40798.89</v>
      </c>
      <c r="K35" s="291">
        <v>108698.56526036304</v>
      </c>
      <c r="L35" s="293">
        <f t="shared" si="4"/>
        <v>2900785.6791070355</v>
      </c>
    </row>
    <row r="36" spans="1:12" s="359" customFormat="1" x14ac:dyDescent="0.25">
      <c r="A36" s="281"/>
      <c r="B36" s="295">
        <v>4</v>
      </c>
      <c r="C36" s="296">
        <f t="shared" si="3"/>
        <v>56</v>
      </c>
      <c r="D36" s="416" t="s">
        <v>348</v>
      </c>
      <c r="E36" s="395" t="s">
        <v>372</v>
      </c>
      <c r="F36" s="297" t="s">
        <v>102</v>
      </c>
      <c r="G36" s="291">
        <v>1496810.081786009</v>
      </c>
      <c r="H36" s="291">
        <v>566940.77107614174</v>
      </c>
      <c r="I36" s="291"/>
      <c r="J36" s="318">
        <v>13230.99</v>
      </c>
      <c r="K36" s="291">
        <v>38168.816934710609</v>
      </c>
      <c r="L36" s="293">
        <f t="shared" si="4"/>
        <v>2115150.6597968615</v>
      </c>
    </row>
    <row r="37" spans="1:12" s="359" customFormat="1" x14ac:dyDescent="0.25">
      <c r="A37" s="281"/>
      <c r="B37" s="295">
        <v>5</v>
      </c>
      <c r="C37" s="296">
        <f t="shared" si="3"/>
        <v>56</v>
      </c>
      <c r="D37" s="416" t="s">
        <v>349</v>
      </c>
      <c r="E37" s="395"/>
      <c r="F37" s="297" t="s">
        <v>364</v>
      </c>
      <c r="G37" s="291">
        <f>VLOOKUP(D37,'[3]CSS Rev by Prog'!$B$7:$AK$36,33,FALSE)</f>
        <v>-1.3492167927324772E-3</v>
      </c>
      <c r="H37" s="291">
        <v>212824.69</v>
      </c>
      <c r="I37" s="291"/>
      <c r="J37" s="291">
        <v>0</v>
      </c>
      <c r="K37" s="291">
        <v>1782430.1713492146</v>
      </c>
      <c r="L37" s="293">
        <f t="shared" si="4"/>
        <v>1995254.8599999978</v>
      </c>
    </row>
    <row r="38" spans="1:12" s="359" customFormat="1" x14ac:dyDescent="0.25">
      <c r="A38" s="281"/>
      <c r="B38" s="295">
        <v>6</v>
      </c>
      <c r="C38" s="296">
        <f t="shared" si="3"/>
        <v>56</v>
      </c>
      <c r="D38" s="416" t="s">
        <v>350</v>
      </c>
      <c r="E38" s="395"/>
      <c r="F38" s="297" t="s">
        <v>364</v>
      </c>
      <c r="G38" s="291">
        <f>VLOOKUP(D38,'[3]CSS Rev by Prog'!$B$7:$AK$36,33,FALSE)</f>
        <v>1351476.5637009351</v>
      </c>
      <c r="H38" s="291">
        <v>634090.09585432219</v>
      </c>
      <c r="I38" s="291"/>
      <c r="J38" s="291">
        <v>618904.07819633523</v>
      </c>
      <c r="K38" s="291">
        <v>93424.232248404543</v>
      </c>
      <c r="L38" s="293">
        <f t="shared" si="4"/>
        <v>2697894.9699999969</v>
      </c>
    </row>
    <row r="39" spans="1:12" s="359" customFormat="1" x14ac:dyDescent="0.25">
      <c r="A39" s="281"/>
      <c r="B39" s="295">
        <v>7</v>
      </c>
      <c r="C39" s="296">
        <f t="shared" si="3"/>
        <v>56</v>
      </c>
      <c r="D39" s="290" t="s">
        <v>351</v>
      </c>
      <c r="E39" s="395"/>
      <c r="F39" s="297" t="s">
        <v>364</v>
      </c>
      <c r="G39" s="291">
        <f>VLOOKUP(D39,'[3]CSS Rev by Prog'!$B$7:$AK$36,33,FALSE)</f>
        <v>971570.92192015273</v>
      </c>
      <c r="H39" s="291">
        <v>336302.10999315255</v>
      </c>
      <c r="I39" s="291"/>
      <c r="J39" s="291">
        <v>1561014.2280866951</v>
      </c>
      <c r="K39" s="291">
        <v>42487.89</v>
      </c>
      <c r="L39" s="293">
        <f t="shared" si="4"/>
        <v>2911375.1500000004</v>
      </c>
    </row>
    <row r="40" spans="1:12" s="359" customFormat="1" x14ac:dyDescent="0.25">
      <c r="A40" s="281"/>
      <c r="B40" s="295">
        <v>8</v>
      </c>
      <c r="C40" s="296">
        <f t="shared" si="3"/>
        <v>56</v>
      </c>
      <c r="D40" s="417" t="s">
        <v>352</v>
      </c>
      <c r="E40" s="395"/>
      <c r="F40" s="297" t="s">
        <v>364</v>
      </c>
      <c r="G40" s="291">
        <f>VLOOKUP(D40,'[3]CSS Rev by Prog'!$B$7:$AK$36,33,FALSE)</f>
        <v>368562.70280956337</v>
      </c>
      <c r="H40" s="291">
        <v>362879.11039780534</v>
      </c>
      <c r="I40" s="291"/>
      <c r="J40" s="291">
        <v>533154.73679263133</v>
      </c>
      <c r="K40" s="291">
        <v>0</v>
      </c>
      <c r="L40" s="293">
        <f t="shared" si="4"/>
        <v>1264596.55</v>
      </c>
    </row>
    <row r="41" spans="1:12" s="359" customFormat="1" x14ac:dyDescent="0.25">
      <c r="A41" s="281"/>
      <c r="B41" s="295">
        <v>9</v>
      </c>
      <c r="C41" s="296">
        <f t="shared" si="3"/>
        <v>56</v>
      </c>
      <c r="D41" s="417" t="s">
        <v>353</v>
      </c>
      <c r="E41" s="395"/>
      <c r="F41" s="297" t="s">
        <v>364</v>
      </c>
      <c r="G41" s="291">
        <f>VLOOKUP(D41,'[3]CSS Rev by Prog'!$B$7:$AK$36,33,FALSE)</f>
        <v>1157232.3539663437</v>
      </c>
      <c r="H41" s="291">
        <v>763557.03742971376</v>
      </c>
      <c r="I41" s="291"/>
      <c r="J41" s="291">
        <v>0</v>
      </c>
      <c r="K41" s="291">
        <v>46381.908603942538</v>
      </c>
      <c r="L41" s="293">
        <f t="shared" si="4"/>
        <v>1967171.2999999998</v>
      </c>
    </row>
    <row r="42" spans="1:12" s="359" customFormat="1" x14ac:dyDescent="0.25">
      <c r="A42" s="281"/>
      <c r="B42" s="295">
        <v>10</v>
      </c>
      <c r="C42" s="296">
        <f t="shared" si="3"/>
        <v>56</v>
      </c>
      <c r="D42" s="417" t="s">
        <v>354</v>
      </c>
      <c r="E42" s="395"/>
      <c r="F42" s="297" t="s">
        <v>364</v>
      </c>
      <c r="G42" s="291">
        <f>VLOOKUP(D42,'[3]CSS Rev by Prog'!$B$7:$AK$36,33,FALSE)</f>
        <v>2359574.9901660918</v>
      </c>
      <c r="H42" s="291">
        <v>848221.39416262042</v>
      </c>
      <c r="I42" s="291"/>
      <c r="J42" s="291">
        <v>0</v>
      </c>
      <c r="K42" s="291">
        <v>57317.585671291512</v>
      </c>
      <c r="L42" s="293">
        <f t="shared" si="4"/>
        <v>3265113.9700000039</v>
      </c>
    </row>
    <row r="43" spans="1:12" s="359" customFormat="1" x14ac:dyDescent="0.25">
      <c r="A43" s="281"/>
      <c r="B43" s="295">
        <v>11</v>
      </c>
      <c r="C43" s="296">
        <f t="shared" si="3"/>
        <v>56</v>
      </c>
      <c r="D43" s="417" t="s">
        <v>328</v>
      </c>
      <c r="E43" s="395"/>
      <c r="F43" s="297" t="s">
        <v>364</v>
      </c>
      <c r="G43" s="291">
        <f>VLOOKUP(D43,'[3]CSS Rev by Prog'!$B$7:$AK$36,33,FALSE)</f>
        <v>256448.8923112372</v>
      </c>
      <c r="H43" s="291">
        <v>142743.24768876436</v>
      </c>
      <c r="I43" s="291"/>
      <c r="J43" s="291">
        <v>0</v>
      </c>
      <c r="K43" s="291">
        <v>1013.35</v>
      </c>
      <c r="L43" s="293">
        <f t="shared" si="4"/>
        <v>400205.4900000015</v>
      </c>
    </row>
    <row r="44" spans="1:12" s="359" customFormat="1" x14ac:dyDescent="0.25">
      <c r="A44" s="281"/>
      <c r="B44" s="295">
        <v>12</v>
      </c>
      <c r="C44" s="296">
        <f t="shared" si="3"/>
        <v>56</v>
      </c>
      <c r="D44" s="417" t="s">
        <v>355</v>
      </c>
      <c r="E44" s="395"/>
      <c r="F44" s="297" t="s">
        <v>364</v>
      </c>
      <c r="G44" s="291">
        <f>VLOOKUP(D44,'[3]CSS Rev by Prog'!$B$7:$AK$36,33,FALSE)</f>
        <v>562305.17447859095</v>
      </c>
      <c r="H44" s="291">
        <v>643081.1569859907</v>
      </c>
      <c r="I44" s="291"/>
      <c r="J44" s="291">
        <v>0</v>
      </c>
      <c r="K44" s="291">
        <v>36598.589261339825</v>
      </c>
      <c r="L44" s="293">
        <f t="shared" si="4"/>
        <v>1241984.9207259214</v>
      </c>
    </row>
    <row r="45" spans="1:12" s="359" customFormat="1" x14ac:dyDescent="0.25">
      <c r="A45" s="281"/>
      <c r="B45" s="295">
        <v>13</v>
      </c>
      <c r="C45" s="296">
        <f t="shared" si="3"/>
        <v>56</v>
      </c>
      <c r="D45" s="417" t="s">
        <v>356</v>
      </c>
      <c r="E45" s="395" t="s">
        <v>375</v>
      </c>
      <c r="F45" s="297" t="s">
        <v>364</v>
      </c>
      <c r="G45" s="291">
        <v>8912895.7971108183</v>
      </c>
      <c r="H45" s="291">
        <v>6455805.4299999997</v>
      </c>
      <c r="I45" s="291"/>
      <c r="J45" s="291">
        <v>834595.71</v>
      </c>
      <c r="K45" s="291">
        <v>2045006.96</v>
      </c>
      <c r="L45" s="293">
        <f t="shared" si="4"/>
        <v>18248303.89711082</v>
      </c>
    </row>
    <row r="46" spans="1:12" s="359" customFormat="1" x14ac:dyDescent="0.25">
      <c r="A46" s="281"/>
      <c r="B46" s="295">
        <v>14</v>
      </c>
      <c r="C46" s="296">
        <f t="shared" si="3"/>
        <v>56</v>
      </c>
      <c r="D46" s="417" t="s">
        <v>357</v>
      </c>
      <c r="E46" s="395" t="s">
        <v>374</v>
      </c>
      <c r="F46" s="297" t="s">
        <v>364</v>
      </c>
      <c r="G46" s="291">
        <v>5005.7771412208094</v>
      </c>
      <c r="H46" s="291">
        <v>1103.9100000000001</v>
      </c>
      <c r="I46" s="291"/>
      <c r="J46" s="291">
        <v>0</v>
      </c>
      <c r="K46" s="291">
        <v>4.9000000000000004</v>
      </c>
      <c r="L46" s="293">
        <f t="shared" si="4"/>
        <v>6114.5871412208089</v>
      </c>
    </row>
    <row r="47" spans="1:12" s="359" customFormat="1" x14ac:dyDescent="0.25">
      <c r="A47" s="281"/>
      <c r="B47" s="295">
        <v>15</v>
      </c>
      <c r="C47" s="296">
        <f t="shared" si="3"/>
        <v>56</v>
      </c>
      <c r="D47" s="417" t="s">
        <v>358</v>
      </c>
      <c r="E47" s="395" t="s">
        <v>373</v>
      </c>
      <c r="F47" s="297" t="s">
        <v>364</v>
      </c>
      <c r="G47" s="291">
        <f>VLOOKUP(D47,'[3]CSS Rev by Prog'!$B$7:$AK$36,33,FALSE)</f>
        <v>42154.270289777451</v>
      </c>
      <c r="H47" s="291">
        <v>196799.76804906188</v>
      </c>
      <c r="I47" s="291"/>
      <c r="J47" s="291">
        <v>0</v>
      </c>
      <c r="K47" s="291">
        <v>893448.76652484364</v>
      </c>
      <c r="L47" s="293">
        <f t="shared" si="4"/>
        <v>1132402.8048636829</v>
      </c>
    </row>
    <row r="48" spans="1:12" s="359" customFormat="1" x14ac:dyDescent="0.25">
      <c r="A48" s="281"/>
      <c r="B48" s="295">
        <v>16</v>
      </c>
      <c r="C48" s="296">
        <f t="shared" si="3"/>
        <v>56</v>
      </c>
      <c r="D48" s="417" t="s">
        <v>359</v>
      </c>
      <c r="E48" s="395"/>
      <c r="F48" s="297" t="s">
        <v>364</v>
      </c>
      <c r="G48" s="291">
        <v>48892.57</v>
      </c>
      <c r="H48" s="291"/>
      <c r="I48" s="291"/>
      <c r="J48" s="291"/>
      <c r="K48" s="291">
        <v>6084.56</v>
      </c>
      <c r="L48" s="293">
        <f t="shared" si="4"/>
        <v>54977.13</v>
      </c>
    </row>
    <row r="49" spans="1:12" s="359" customFormat="1" x14ac:dyDescent="0.25">
      <c r="A49" s="281"/>
      <c r="B49" s="295">
        <v>17</v>
      </c>
      <c r="C49" s="296">
        <f t="shared" si="3"/>
        <v>56</v>
      </c>
      <c r="D49" s="417" t="s">
        <v>360</v>
      </c>
      <c r="E49" s="395"/>
      <c r="F49" s="297" t="s">
        <v>364</v>
      </c>
      <c r="G49" s="291">
        <f>VLOOKUP(D49,'[3]CSS Rev by Prog'!$B$7:$AK$36,33,FALSE)</f>
        <v>333467.52000000002</v>
      </c>
      <c r="H49" s="291">
        <v>0</v>
      </c>
      <c r="I49" s="291"/>
      <c r="J49" s="291">
        <v>0</v>
      </c>
      <c r="K49" s="291">
        <v>0</v>
      </c>
      <c r="L49" s="293">
        <f t="shared" si="4"/>
        <v>333467.52000000002</v>
      </c>
    </row>
    <row r="50" spans="1:12" s="359" customFormat="1" x14ac:dyDescent="0.25">
      <c r="A50" s="281"/>
      <c r="B50" s="295">
        <v>18</v>
      </c>
      <c r="C50" s="296">
        <f t="shared" si="3"/>
        <v>56</v>
      </c>
      <c r="D50" s="417" t="s">
        <v>361</v>
      </c>
      <c r="E50" s="395"/>
      <c r="F50" s="297" t="s">
        <v>364</v>
      </c>
      <c r="G50" s="291">
        <v>76741.399999999994</v>
      </c>
      <c r="H50" s="291"/>
      <c r="I50" s="291"/>
      <c r="J50" s="291"/>
      <c r="K50" s="291">
        <v>6981.69</v>
      </c>
      <c r="L50" s="293">
        <f t="shared" si="4"/>
        <v>83723.09</v>
      </c>
    </row>
    <row r="51" spans="1:12" s="359" customFormat="1" x14ac:dyDescent="0.25">
      <c r="A51" s="281"/>
      <c r="B51" s="295">
        <v>19</v>
      </c>
      <c r="C51" s="296">
        <f t="shared" si="3"/>
        <v>56</v>
      </c>
      <c r="D51" s="417" t="s">
        <v>362</v>
      </c>
      <c r="E51" s="395"/>
      <c r="F51" s="297" t="s">
        <v>364</v>
      </c>
      <c r="G51" s="291">
        <f>VLOOKUP(D51,'[3]CSS Rev by Prog'!$B$7:$AK$36,33,FALSE)</f>
        <v>737762.50000000012</v>
      </c>
      <c r="H51" s="291">
        <v>0</v>
      </c>
      <c r="I51" s="291"/>
      <c r="J51" s="291">
        <v>0</v>
      </c>
      <c r="K51" s="291">
        <v>202789.25</v>
      </c>
      <c r="L51" s="293">
        <f t="shared" si="4"/>
        <v>940551.75000000012</v>
      </c>
    </row>
    <row r="52" spans="1:12" s="359" customFormat="1" x14ac:dyDescent="0.25">
      <c r="A52" s="281"/>
      <c r="B52" s="295">
        <v>20</v>
      </c>
      <c r="C52" s="296">
        <f t="shared" si="3"/>
        <v>56</v>
      </c>
      <c r="D52" s="417" t="s">
        <v>363</v>
      </c>
      <c r="E52" s="395"/>
      <c r="F52" s="297" t="s">
        <v>364</v>
      </c>
      <c r="G52" s="291">
        <v>107835.07</v>
      </c>
      <c r="H52" s="291"/>
      <c r="I52" s="291"/>
      <c r="J52" s="291"/>
      <c r="K52" s="291">
        <v>10628.73</v>
      </c>
      <c r="L52" s="293">
        <f t="shared" si="4"/>
        <v>118463.8</v>
      </c>
    </row>
    <row r="53" spans="1:12" s="359" customFormat="1" x14ac:dyDescent="0.25">
      <c r="A53" s="281"/>
      <c r="B53" s="295">
        <v>21</v>
      </c>
      <c r="C53" s="296" t="str">
        <f t="shared" si="3"/>
        <v/>
      </c>
      <c r="D53" s="417"/>
      <c r="E53" s="395"/>
      <c r="F53" s="297"/>
      <c r="G53" s="291"/>
      <c r="H53" s="291"/>
      <c r="I53" s="291"/>
      <c r="J53" s="291"/>
      <c r="K53" s="291"/>
      <c r="L53" s="293">
        <f t="shared" si="4"/>
        <v>0</v>
      </c>
    </row>
    <row r="54" spans="1:12" s="359" customFormat="1" x14ac:dyDescent="0.25">
      <c r="A54" s="281"/>
      <c r="B54" s="295">
        <v>22</v>
      </c>
      <c r="C54" s="296" t="str">
        <f t="shared" si="3"/>
        <v/>
      </c>
      <c r="D54" s="417"/>
      <c r="E54" s="395"/>
      <c r="F54" s="297"/>
      <c r="G54" s="291"/>
      <c r="H54" s="291"/>
      <c r="I54" s="291"/>
      <c r="J54" s="291"/>
      <c r="K54" s="291"/>
      <c r="L54" s="293">
        <f t="shared" si="4"/>
        <v>0</v>
      </c>
    </row>
    <row r="55" spans="1:12" s="359" customFormat="1" x14ac:dyDescent="0.25">
      <c r="A55" s="281"/>
      <c r="B55" s="295">
        <v>23</v>
      </c>
      <c r="C55" s="296" t="str">
        <f t="shared" si="3"/>
        <v/>
      </c>
      <c r="D55" s="417"/>
      <c r="E55" s="395"/>
      <c r="F55" s="297"/>
      <c r="G55" s="291"/>
      <c r="H55" s="291"/>
      <c r="I55" s="291"/>
      <c r="J55" s="291"/>
      <c r="K55" s="291"/>
      <c r="L55" s="293">
        <f t="shared" si="4"/>
        <v>0</v>
      </c>
    </row>
    <row r="56" spans="1:12" s="359" customFormat="1" x14ac:dyDescent="0.25">
      <c r="A56" s="281"/>
      <c r="B56" s="295">
        <v>24</v>
      </c>
      <c r="C56" s="296" t="str">
        <f t="shared" si="3"/>
        <v/>
      </c>
      <c r="D56" s="417"/>
      <c r="E56" s="395"/>
      <c r="F56" s="297"/>
      <c r="G56" s="291"/>
      <c r="H56" s="291"/>
      <c r="I56" s="291"/>
      <c r="J56" s="291"/>
      <c r="K56" s="291"/>
      <c r="L56" s="293">
        <f t="shared" si="4"/>
        <v>0</v>
      </c>
    </row>
    <row r="57" spans="1:12" s="359" customFormat="1" x14ac:dyDescent="0.25">
      <c r="A57" s="281"/>
      <c r="B57" s="295">
        <v>25</v>
      </c>
      <c r="C57" s="296" t="str">
        <f t="shared" si="3"/>
        <v/>
      </c>
      <c r="D57" s="395"/>
      <c r="E57" s="395"/>
      <c r="F57" s="297"/>
      <c r="G57" s="291"/>
      <c r="H57" s="291"/>
      <c r="I57" s="291"/>
      <c r="J57" s="291"/>
      <c r="K57" s="291"/>
      <c r="L57" s="293">
        <f t="shared" si="4"/>
        <v>0</v>
      </c>
    </row>
    <row r="58" spans="1:12" s="359" customFormat="1" x14ac:dyDescent="0.25">
      <c r="A58" s="281"/>
      <c r="B58" s="295">
        <v>26</v>
      </c>
      <c r="C58" s="296" t="str">
        <f t="shared" si="3"/>
        <v/>
      </c>
      <c r="D58" s="395"/>
      <c r="E58" s="395"/>
      <c r="F58" s="297"/>
      <c r="G58" s="291"/>
      <c r="H58" s="291"/>
      <c r="I58" s="291"/>
      <c r="J58" s="291"/>
      <c r="K58" s="291"/>
      <c r="L58" s="293">
        <f t="shared" si="4"/>
        <v>0</v>
      </c>
    </row>
    <row r="59" spans="1:12" s="359" customFormat="1" x14ac:dyDescent="0.25">
      <c r="A59" s="281"/>
      <c r="B59" s="295">
        <v>27</v>
      </c>
      <c r="C59" s="296" t="str">
        <f t="shared" si="3"/>
        <v/>
      </c>
      <c r="D59" s="395"/>
      <c r="E59" s="395"/>
      <c r="F59" s="297"/>
      <c r="G59" s="291"/>
      <c r="H59" s="291"/>
      <c r="I59" s="291"/>
      <c r="J59" s="291"/>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C24:E24"/>
    <mergeCell ref="H31:K31"/>
    <mergeCell ref="D31:F31"/>
    <mergeCell ref="C25:E25"/>
    <mergeCell ref="G12:J12"/>
    <mergeCell ref="C20:E20"/>
    <mergeCell ref="C21:E21"/>
    <mergeCell ref="C22:E22"/>
    <mergeCell ref="C23:E23"/>
    <mergeCell ref="C19:E19"/>
    <mergeCell ref="C17:E17"/>
    <mergeCell ref="C18:E18"/>
    <mergeCell ref="B1:D1"/>
    <mergeCell ref="B7:C7"/>
    <mergeCell ref="C14:E14"/>
    <mergeCell ref="C15:E15"/>
    <mergeCell ref="C16:E16"/>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1.1236458333333299" bottom="0.75" header="0.3" footer="0.3"/>
  <pageSetup scale="41" orientation="landscape" r:id="rId1"/>
  <headerFooter>
    <oddFooter>&amp;C&amp;"Arial,Regular"&amp;14Page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50"/>
  <sheetViews>
    <sheetView showGridLines="0" tabSelected="1" topLeftCell="A13" zoomScale="55" zoomScaleNormal="55" zoomScaleSheetLayoutView="40" zoomScalePageLayoutView="80" workbookViewId="0">
      <selection activeCell="A56" sqref="A56:XFD1048576"/>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41" t="s">
        <v>1</v>
      </c>
      <c r="C7" s="442"/>
      <c r="D7" s="9" t="str">
        <f>IF(ISBLANK('1. Information'!D8),"",'1. Information'!D8)</f>
        <v>Ventura</v>
      </c>
      <c r="F7" s="94" t="s">
        <v>2</v>
      </c>
      <c r="G7" s="109">
        <f>IF(ISBLANK('1. Information'!D7),"",'1. Information'!D7)</f>
        <v>43465</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41" t="s">
        <v>30</v>
      </c>
      <c r="H12" s="439"/>
      <c r="I12" s="439"/>
      <c r="J12" s="442"/>
      <c r="K12" s="303"/>
      <c r="L12"/>
      <c r="M12"/>
      <c r="N12"/>
      <c r="O12"/>
      <c r="P12"/>
      <c r="Q12"/>
      <c r="AL12" s="108"/>
      <c r="AM12" s="108"/>
      <c r="AN12" s="108"/>
    </row>
    <row r="13" spans="2:40" ht="47.25" customHeight="1" x14ac:dyDescent="0.25">
      <c r="C13" s="450"/>
      <c r="D13" s="450"/>
      <c r="E13" s="450"/>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6" t="s">
        <v>3</v>
      </c>
      <c r="D14" s="446"/>
      <c r="E14" s="443"/>
      <c r="F14" s="291">
        <v>384107.09</v>
      </c>
      <c r="G14" s="353">
        <v>139083.99</v>
      </c>
      <c r="H14" s="353"/>
      <c r="I14" s="353"/>
      <c r="J14" s="353"/>
      <c r="K14" s="292">
        <f>SUM(F14:J14)</f>
        <v>523191.08</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6" t="s">
        <v>133</v>
      </c>
      <c r="D15" s="446"/>
      <c r="E15" s="443"/>
      <c r="F15" s="291">
        <v>62901.43</v>
      </c>
      <c r="G15" s="353"/>
      <c r="H15" s="353"/>
      <c r="I15" s="353"/>
      <c r="J15" s="353"/>
      <c r="K15" s="292">
        <f t="shared" ref="K15:K20" si="0">SUM(F15:J15)</f>
        <v>62901.43</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1" t="s">
        <v>149</v>
      </c>
      <c r="D16" s="451"/>
      <c r="E16" s="452"/>
      <c r="F16" s="388">
        <v>952507.25</v>
      </c>
      <c r="G16" s="387"/>
      <c r="H16" s="387"/>
      <c r="I16" s="387"/>
      <c r="J16" s="387"/>
      <c r="K16" s="292">
        <f t="shared" si="0"/>
        <v>952507.25</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6" t="s">
        <v>228</v>
      </c>
      <c r="D17" s="446"/>
      <c r="E17" s="443"/>
      <c r="F17" s="291">
        <v>59501</v>
      </c>
      <c r="G17" s="387"/>
      <c r="H17" s="387"/>
      <c r="I17" s="387"/>
      <c r="J17" s="387"/>
      <c r="K17" s="292">
        <f t="shared" si="0"/>
        <v>59501</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6" t="s">
        <v>215</v>
      </c>
      <c r="D18" s="446"/>
      <c r="E18" s="443"/>
      <c r="F18" s="389"/>
      <c r="G18" s="403"/>
      <c r="H18" s="403"/>
      <c r="I18" s="403"/>
      <c r="J18" s="403"/>
      <c r="K18" s="292">
        <f t="shared" si="0"/>
        <v>0</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6" t="s">
        <v>217</v>
      </c>
      <c r="D19" s="446"/>
      <c r="E19" s="443"/>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32" t="s">
        <v>150</v>
      </c>
      <c r="D20" s="432"/>
      <c r="E20" s="432"/>
      <c r="F20" s="315">
        <f>SUMIF($G$36:$G$135,"Combined Summary",L$36:L$135) + SUMIF($F$36:$F$135,"Standalone",L$36:L$135)</f>
        <v>4281234.8363026902</v>
      </c>
      <c r="G20" s="119">
        <f>SUMIF($G$36:$G$135,"Combined Summary",M$36:M$135) + SUMIF($F$36:$F$135,"Standalone",M$36:M$135)</f>
        <v>2076302.38</v>
      </c>
      <c r="H20" s="119">
        <f>SUMIF($G$36:$G$135,"Combined Summary",N$36:N$135) + SUMIF($F$36:$F$135,"Standalone",N$36:N$135)</f>
        <v>0</v>
      </c>
      <c r="I20" s="119">
        <f>SUMIF($G$36:$G$135,"Combined Summary",O$36:O$135) + SUMIF($F$36:$F$135,"Standalone",O$36:O$135)</f>
        <v>600000</v>
      </c>
      <c r="J20" s="119">
        <f>SUMIF($G$36:$G$135,"Combined Summary",P$36:P$135) + SUMIF($F$36:$F$135,"Standalone",P$36:P$135)</f>
        <v>1701220.97</v>
      </c>
      <c r="K20" s="293">
        <f t="shared" si="0"/>
        <v>8658758.1863026898</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6" t="s">
        <v>229</v>
      </c>
      <c r="D21" s="456"/>
      <c r="E21" s="456"/>
      <c r="F21" s="8">
        <f>SUM(F14:F16,F19:F20)</f>
        <v>5680750.6063026898</v>
      </c>
      <c r="G21" s="8">
        <f t="shared" ref="G21:K21" si="1">SUM(G14:G16,G19:G20)</f>
        <v>2215386.37</v>
      </c>
      <c r="H21" s="8">
        <f t="shared" si="1"/>
        <v>0</v>
      </c>
      <c r="I21" s="8">
        <f t="shared" si="1"/>
        <v>600000</v>
      </c>
      <c r="J21" s="8">
        <f t="shared" si="1"/>
        <v>1701220.97</v>
      </c>
      <c r="K21" s="8">
        <f t="shared" si="1"/>
        <v>10197357.94630269</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5" t="s">
        <v>234</v>
      </c>
      <c r="G26" s="453" t="s">
        <v>233</v>
      </c>
      <c r="H26" s="110"/>
      <c r="I26" s="110"/>
      <c r="J26" s="110"/>
      <c r="K26" s="110"/>
      <c r="L26" s="110"/>
      <c r="M26" s="110"/>
      <c r="N26" s="110"/>
      <c r="O26" s="110"/>
      <c r="P26" s="110"/>
      <c r="Q26" s="110"/>
    </row>
    <row r="27" spans="2:40" ht="15" customHeight="1" x14ac:dyDescent="0.25">
      <c r="B27" s="99"/>
      <c r="C27" s="99"/>
      <c r="D27" s="99"/>
      <c r="E27" s="99"/>
      <c r="F27" s="455"/>
      <c r="G27" s="453"/>
      <c r="H27" s="110"/>
      <c r="I27" s="110"/>
      <c r="J27" s="110"/>
      <c r="K27" s="110"/>
      <c r="L27" s="110"/>
      <c r="M27" s="110"/>
      <c r="N27" s="110"/>
      <c r="O27" s="110"/>
      <c r="P27" s="110"/>
      <c r="Q27" s="110"/>
    </row>
    <row r="28" spans="2:40" x14ac:dyDescent="0.25">
      <c r="B28" s="99"/>
      <c r="C28" s="99"/>
      <c r="D28" s="99"/>
      <c r="E28" s="99"/>
      <c r="F28" s="455"/>
      <c r="G28" s="454"/>
      <c r="H28" s="110"/>
      <c r="I28" s="110"/>
      <c r="J28" s="110"/>
      <c r="K28" s="110"/>
      <c r="L28" s="110"/>
      <c r="M28" s="110"/>
      <c r="N28" s="110"/>
      <c r="O28" s="110"/>
      <c r="P28" s="110"/>
      <c r="Q28" s="110"/>
    </row>
    <row r="29" spans="2:40" ht="51.75" customHeight="1" x14ac:dyDescent="0.25">
      <c r="B29" s="130">
        <v>1</v>
      </c>
      <c r="C29" s="447" t="s">
        <v>245</v>
      </c>
      <c r="D29" s="448"/>
      <c r="E29" s="449"/>
      <c r="F29" s="10">
        <f>IF(F21=0,"",((SUMPRODUCT($K$36:$K$135,$L$36:$L$135)+(F19*G29))/$F$21))</f>
        <v>0.54496835838985402</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9" t="s">
        <v>165</v>
      </c>
      <c r="E34" s="439"/>
      <c r="F34" s="439"/>
      <c r="G34" s="439"/>
      <c r="H34" s="439"/>
      <c r="I34" s="439"/>
      <c r="J34" s="439"/>
      <c r="K34" s="439"/>
      <c r="L34" s="340" t="s">
        <v>28</v>
      </c>
      <c r="M34" s="441" t="s">
        <v>30</v>
      </c>
      <c r="N34" s="439"/>
      <c r="O34" s="439"/>
      <c r="P34" s="442"/>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56</v>
      </c>
      <c r="D36" s="337" t="s">
        <v>329</v>
      </c>
      <c r="E36" s="395" t="s">
        <v>376</v>
      </c>
      <c r="F36" s="416" t="s">
        <v>143</v>
      </c>
      <c r="G36" s="417" t="s">
        <v>136</v>
      </c>
      <c r="H36" s="125"/>
      <c r="I36" s="421">
        <v>1</v>
      </c>
      <c r="J36" s="134">
        <v>0.05</v>
      </c>
      <c r="K36" s="350">
        <f>IF(OR(G36="Combined Summary",F36="Standalone"),(SUMPRODUCT(--(D$36:D$135=D36),I$36:I$135,J$36:J$135)),"")</f>
        <v>0.05</v>
      </c>
      <c r="L36" s="291">
        <v>31511.044893717775</v>
      </c>
      <c r="M36" s="352"/>
      <c r="N36" s="116"/>
      <c r="O36" s="116"/>
      <c r="P36" s="116"/>
      <c r="Q36" s="351">
        <f>SUM(L36:P36)</f>
        <v>31511.044893717775</v>
      </c>
      <c r="R36" s="409">
        <f>IF(OR(G36="Combined Summary",F36="Standalone"),(SUMIF(D$36:D$135,D36,I$36:I$135)),"")</f>
        <v>1</v>
      </c>
      <c r="S36" s="407" t="str">
        <f>IF(AND(F36="Standalone",NOT(R36=1)),"ERROR",IF(AND(G36="Combined Summary",NOT(R36=1)),"ERROR",""))</f>
        <v/>
      </c>
      <c r="AL36" s="108"/>
      <c r="AM36" s="108"/>
      <c r="AN36" s="108"/>
    </row>
    <row r="37" spans="2:40" x14ac:dyDescent="0.25">
      <c r="B37" s="363">
        <v>2</v>
      </c>
      <c r="C37" s="132">
        <f t="shared" si="2"/>
        <v>56</v>
      </c>
      <c r="D37" s="337" t="s">
        <v>330</v>
      </c>
      <c r="E37" s="395" t="s">
        <v>376</v>
      </c>
      <c r="F37" s="416" t="s">
        <v>143</v>
      </c>
      <c r="G37" s="417" t="s">
        <v>136</v>
      </c>
      <c r="H37" s="125"/>
      <c r="I37" s="421">
        <v>1</v>
      </c>
      <c r="J37" s="134">
        <v>0.1</v>
      </c>
      <c r="K37" s="350">
        <f t="shared" ref="K37:K100" si="3">IF(OR(G37="Combined Summary",F37="Standalone"),(SUMPRODUCT(--(D$36:D$135=D37),I$36:I$135,J$36:J$135)),"")</f>
        <v>0.1</v>
      </c>
      <c r="L37" s="291">
        <v>61471.273712991228</v>
      </c>
      <c r="M37" s="352"/>
      <c r="N37" s="116"/>
      <c r="O37" s="116"/>
      <c r="P37" s="116"/>
      <c r="Q37" s="351">
        <f t="shared" ref="Q37:Q100" si="4">SUM(L37:P37)</f>
        <v>61471.273712991228</v>
      </c>
      <c r="R37" s="409">
        <f t="shared" ref="R37:R100" si="5">IF(OR(G37="Combined Summary",F37="Standalone"),(SUMIF(D$36:D$135,D37,I$36:I$135)),"")</f>
        <v>1</v>
      </c>
      <c r="S37" s="407"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56</v>
      </c>
      <c r="D38" s="337" t="s">
        <v>331</v>
      </c>
      <c r="E38" s="395"/>
      <c r="F38" s="416" t="s">
        <v>143</v>
      </c>
      <c r="G38" s="417" t="s">
        <v>136</v>
      </c>
      <c r="H38" s="125"/>
      <c r="I38" s="421">
        <v>1</v>
      </c>
      <c r="J38" s="134">
        <v>0.5</v>
      </c>
      <c r="K38" s="350">
        <f t="shared" si="3"/>
        <v>0.5</v>
      </c>
      <c r="L38" s="291">
        <v>56307.443245759765</v>
      </c>
      <c r="M38" s="352"/>
      <c r="N38" s="116"/>
      <c r="O38" s="116"/>
      <c r="P38" s="116"/>
      <c r="Q38" s="351">
        <f t="shared" si="4"/>
        <v>56307.443245759765</v>
      </c>
      <c r="R38" s="409">
        <f t="shared" si="5"/>
        <v>1</v>
      </c>
      <c r="S38" s="407"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56</v>
      </c>
      <c r="D39" s="337" t="s">
        <v>383</v>
      </c>
      <c r="E39" s="395"/>
      <c r="F39" s="416" t="s">
        <v>143</v>
      </c>
      <c r="G39" s="417" t="s">
        <v>136</v>
      </c>
      <c r="H39" s="125"/>
      <c r="I39" s="421">
        <v>1</v>
      </c>
      <c r="J39" s="134">
        <v>1</v>
      </c>
      <c r="K39" s="350">
        <f t="shared" si="3"/>
        <v>1</v>
      </c>
      <c r="L39" s="291">
        <v>48395.786641706291</v>
      </c>
      <c r="M39" s="352"/>
      <c r="N39" s="116"/>
      <c r="O39" s="116"/>
      <c r="P39" s="116"/>
      <c r="Q39" s="351">
        <f t="shared" si="4"/>
        <v>48395.786641706291</v>
      </c>
      <c r="R39" s="409">
        <f t="shared" si="5"/>
        <v>1</v>
      </c>
      <c r="S39" s="407"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f t="shared" si="2"/>
        <v>56</v>
      </c>
      <c r="D40" s="337" t="s">
        <v>332</v>
      </c>
      <c r="E40" s="395"/>
      <c r="F40" s="416" t="s">
        <v>143</v>
      </c>
      <c r="G40" s="417" t="s">
        <v>136</v>
      </c>
      <c r="H40" s="125"/>
      <c r="I40" s="421">
        <v>1</v>
      </c>
      <c r="J40" s="134">
        <v>0.37</v>
      </c>
      <c r="K40" s="350">
        <f t="shared" si="3"/>
        <v>0.37</v>
      </c>
      <c r="L40" s="291">
        <v>54093.414209437353</v>
      </c>
      <c r="M40" s="352"/>
      <c r="N40" s="116"/>
      <c r="O40" s="116"/>
      <c r="P40" s="116"/>
      <c r="Q40" s="351">
        <f t="shared" si="4"/>
        <v>54093.414209437353</v>
      </c>
      <c r="R40" s="409">
        <f t="shared" si="5"/>
        <v>1</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f t="shared" si="2"/>
        <v>56</v>
      </c>
      <c r="D41" s="337" t="s">
        <v>333</v>
      </c>
      <c r="E41" s="395"/>
      <c r="F41" s="416" t="s">
        <v>143</v>
      </c>
      <c r="G41" s="416" t="s">
        <v>136</v>
      </c>
      <c r="H41" s="125"/>
      <c r="I41" s="421">
        <v>1</v>
      </c>
      <c r="J41" s="134">
        <v>1</v>
      </c>
      <c r="K41" s="350">
        <f t="shared" si="3"/>
        <v>1</v>
      </c>
      <c r="L41" s="291">
        <v>54093.960400882177</v>
      </c>
      <c r="M41" s="352"/>
      <c r="N41" s="116"/>
      <c r="O41" s="116"/>
      <c r="P41" s="116"/>
      <c r="Q41" s="351">
        <f t="shared" si="4"/>
        <v>54093.960400882177</v>
      </c>
      <c r="R41" s="409">
        <f t="shared" si="5"/>
        <v>1</v>
      </c>
      <c r="S41" s="407"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f t="shared" si="2"/>
        <v>56</v>
      </c>
      <c r="D42" s="337" t="s">
        <v>334</v>
      </c>
      <c r="E42" s="395"/>
      <c r="F42" s="416" t="s">
        <v>143</v>
      </c>
      <c r="G42" s="417" t="s">
        <v>136</v>
      </c>
      <c r="H42" s="125"/>
      <c r="I42" s="421">
        <v>1</v>
      </c>
      <c r="J42" s="134">
        <v>0.09</v>
      </c>
      <c r="K42" s="350">
        <f t="shared" si="3"/>
        <v>0.09</v>
      </c>
      <c r="L42" s="291">
        <v>599225.72000000009</v>
      </c>
      <c r="M42" s="352"/>
      <c r="N42" s="116"/>
      <c r="O42" s="116"/>
      <c r="P42" s="116">
        <v>89375.039999999994</v>
      </c>
      <c r="Q42" s="351">
        <f t="shared" si="4"/>
        <v>688600.76000000013</v>
      </c>
      <c r="R42" s="409">
        <f t="shared" si="5"/>
        <v>1</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f t="shared" si="2"/>
        <v>56</v>
      </c>
      <c r="D43" s="337" t="s">
        <v>335</v>
      </c>
      <c r="E43" s="395" t="s">
        <v>377</v>
      </c>
      <c r="F43" s="416" t="s">
        <v>143</v>
      </c>
      <c r="G43" s="417" t="s">
        <v>136</v>
      </c>
      <c r="H43" s="125"/>
      <c r="I43" s="421">
        <v>1</v>
      </c>
      <c r="J43" s="134">
        <v>1</v>
      </c>
      <c r="K43" s="350">
        <f t="shared" si="3"/>
        <v>1</v>
      </c>
      <c r="L43" s="291">
        <v>545424.03</v>
      </c>
      <c r="M43" s="352"/>
      <c r="N43" s="116"/>
      <c r="O43" s="116"/>
      <c r="P43" s="116">
        <v>9338.2900000000009</v>
      </c>
      <c r="Q43" s="351">
        <f t="shared" si="4"/>
        <v>554762.32000000007</v>
      </c>
      <c r="R43" s="409">
        <f t="shared" si="5"/>
        <v>1</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f t="shared" si="2"/>
        <v>56</v>
      </c>
      <c r="D44" s="337" t="s">
        <v>368</v>
      </c>
      <c r="E44" s="395" t="s">
        <v>378</v>
      </c>
      <c r="F44" s="416" t="s">
        <v>143</v>
      </c>
      <c r="G44" s="417" t="s">
        <v>137</v>
      </c>
      <c r="H44" s="125"/>
      <c r="I44" s="421">
        <v>1</v>
      </c>
      <c r="J44" s="134">
        <v>0.24</v>
      </c>
      <c r="K44" s="350">
        <f t="shared" si="3"/>
        <v>0.24</v>
      </c>
      <c r="L44" s="291">
        <v>299063.40000000002</v>
      </c>
      <c r="M44" s="352"/>
      <c r="N44" s="116"/>
      <c r="O44" s="116"/>
      <c r="P44" s="116"/>
      <c r="Q44" s="351">
        <f t="shared" si="4"/>
        <v>299063.40000000002</v>
      </c>
      <c r="R44" s="409">
        <f t="shared" si="5"/>
        <v>1</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f t="shared" si="2"/>
        <v>56</v>
      </c>
      <c r="D45" s="337" t="s">
        <v>367</v>
      </c>
      <c r="E45" s="395" t="s">
        <v>378</v>
      </c>
      <c r="F45" s="416" t="s">
        <v>143</v>
      </c>
      <c r="G45" s="417" t="s">
        <v>137</v>
      </c>
      <c r="H45" s="125"/>
      <c r="I45" s="421">
        <v>1</v>
      </c>
      <c r="J45" s="134"/>
      <c r="K45" s="350">
        <f t="shared" si="3"/>
        <v>0</v>
      </c>
      <c r="L45" s="291">
        <v>11257.48</v>
      </c>
      <c r="M45" s="352"/>
      <c r="N45" s="116"/>
      <c r="O45" s="116"/>
      <c r="P45" s="116">
        <v>1244207.76</v>
      </c>
      <c r="Q45" s="351">
        <f t="shared" si="4"/>
        <v>1255465.24</v>
      </c>
      <c r="R45" s="409">
        <f t="shared" si="5"/>
        <v>1</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ht="30.75" x14ac:dyDescent="0.25">
      <c r="B46" s="363">
        <v>11</v>
      </c>
      <c r="C46" s="132">
        <f t="shared" si="2"/>
        <v>56</v>
      </c>
      <c r="D46" s="337" t="s">
        <v>336</v>
      </c>
      <c r="E46" s="395" t="s">
        <v>379</v>
      </c>
      <c r="F46" s="416" t="s">
        <v>143</v>
      </c>
      <c r="G46" s="417" t="s">
        <v>137</v>
      </c>
      <c r="H46" s="125"/>
      <c r="I46" s="421">
        <v>1</v>
      </c>
      <c r="J46" s="134">
        <v>1</v>
      </c>
      <c r="K46" s="350">
        <f t="shared" si="3"/>
        <v>1</v>
      </c>
      <c r="L46" s="291">
        <v>384319.35</v>
      </c>
      <c r="M46" s="352">
        <v>289401.92</v>
      </c>
      <c r="N46" s="116"/>
      <c r="O46" s="116"/>
      <c r="P46" s="116">
        <v>246544.66</v>
      </c>
      <c r="Q46" s="351">
        <f t="shared" si="4"/>
        <v>920265.93</v>
      </c>
      <c r="R46" s="409">
        <f t="shared" si="5"/>
        <v>1</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f t="shared" si="2"/>
        <v>56</v>
      </c>
      <c r="D47" s="337" t="s">
        <v>337</v>
      </c>
      <c r="E47" s="395"/>
      <c r="F47" s="416" t="s">
        <v>143</v>
      </c>
      <c r="G47" s="417" t="s">
        <v>137</v>
      </c>
      <c r="H47" s="125"/>
      <c r="I47" s="421">
        <v>1</v>
      </c>
      <c r="J47" s="134">
        <v>1</v>
      </c>
      <c r="K47" s="350">
        <f t="shared" si="3"/>
        <v>1</v>
      </c>
      <c r="L47" s="291">
        <v>1881999.71</v>
      </c>
      <c r="M47" s="352">
        <v>1786900.46</v>
      </c>
      <c r="N47" s="116"/>
      <c r="O47" s="116">
        <v>600000</v>
      </c>
      <c r="P47" s="116">
        <v>91597.33</v>
      </c>
      <c r="Q47" s="351">
        <f t="shared" si="4"/>
        <v>4360497.5</v>
      </c>
      <c r="R47" s="409">
        <f t="shared" si="5"/>
        <v>1</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f t="shared" si="2"/>
        <v>56</v>
      </c>
      <c r="D48" s="337" t="s">
        <v>338</v>
      </c>
      <c r="E48" s="395"/>
      <c r="F48" s="416" t="s">
        <v>143</v>
      </c>
      <c r="G48" s="417" t="s">
        <v>145</v>
      </c>
      <c r="H48" s="125"/>
      <c r="I48" s="421">
        <v>1</v>
      </c>
      <c r="J48" s="134"/>
      <c r="K48" s="350">
        <f t="shared" si="3"/>
        <v>0</v>
      </c>
      <c r="L48" s="291">
        <v>105445.93471192935</v>
      </c>
      <c r="M48" s="352"/>
      <c r="N48" s="116"/>
      <c r="O48" s="116"/>
      <c r="P48" s="116"/>
      <c r="Q48" s="351">
        <f t="shared" si="4"/>
        <v>105445.93471192935</v>
      </c>
      <c r="R48" s="409">
        <f t="shared" si="5"/>
        <v>1</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f t="shared" si="2"/>
        <v>56</v>
      </c>
      <c r="D49" s="337" t="s">
        <v>339</v>
      </c>
      <c r="E49" s="395"/>
      <c r="F49" s="416" t="s">
        <v>143</v>
      </c>
      <c r="G49" s="417" t="s">
        <v>145</v>
      </c>
      <c r="H49" s="125"/>
      <c r="I49" s="421">
        <v>1</v>
      </c>
      <c r="J49" s="134"/>
      <c r="K49" s="350">
        <f t="shared" si="3"/>
        <v>0</v>
      </c>
      <c r="L49" s="291">
        <v>23894.342173551151</v>
      </c>
      <c r="M49" s="352"/>
      <c r="N49" s="116"/>
      <c r="O49" s="116"/>
      <c r="P49" s="116"/>
      <c r="Q49" s="351">
        <f t="shared" si="4"/>
        <v>23894.342173551151</v>
      </c>
      <c r="R49" s="409">
        <f t="shared" si="5"/>
        <v>1</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f t="shared" si="2"/>
        <v>56</v>
      </c>
      <c r="D50" s="337" t="s">
        <v>340</v>
      </c>
      <c r="E50" s="395" t="s">
        <v>380</v>
      </c>
      <c r="F50" s="416" t="s">
        <v>143</v>
      </c>
      <c r="G50" s="417" t="s">
        <v>145</v>
      </c>
      <c r="H50" s="125"/>
      <c r="I50" s="421">
        <v>1</v>
      </c>
      <c r="J50" s="134"/>
      <c r="K50" s="350">
        <f t="shared" si="3"/>
        <v>0</v>
      </c>
      <c r="L50" s="291">
        <v>43015.013333548406</v>
      </c>
      <c r="M50" s="352"/>
      <c r="N50" s="116"/>
      <c r="O50" s="116"/>
      <c r="P50" s="116"/>
      <c r="Q50" s="351">
        <f t="shared" si="4"/>
        <v>43015.013333548406</v>
      </c>
      <c r="R50" s="409">
        <f t="shared" si="5"/>
        <v>1</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f t="shared" si="2"/>
        <v>56</v>
      </c>
      <c r="D51" s="337" t="s">
        <v>341</v>
      </c>
      <c r="E51" s="395" t="s">
        <v>382</v>
      </c>
      <c r="F51" s="416" t="s">
        <v>143</v>
      </c>
      <c r="G51" s="417" t="s">
        <v>136</v>
      </c>
      <c r="H51" s="125"/>
      <c r="I51" s="421">
        <v>1</v>
      </c>
      <c r="J51" s="134"/>
      <c r="K51" s="350">
        <f t="shared" si="3"/>
        <v>0</v>
      </c>
      <c r="L51" s="291">
        <v>10753.753333387102</v>
      </c>
      <c r="M51" s="352"/>
      <c r="N51" s="116"/>
      <c r="O51" s="116"/>
      <c r="P51" s="116"/>
      <c r="Q51" s="351">
        <f t="shared" si="4"/>
        <v>10753.753333387102</v>
      </c>
      <c r="R51" s="409">
        <f t="shared" si="5"/>
        <v>1</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f t="shared" si="2"/>
        <v>56</v>
      </c>
      <c r="D52" s="337" t="s">
        <v>342</v>
      </c>
      <c r="E52" s="395" t="s">
        <v>382</v>
      </c>
      <c r="F52" s="416" t="s">
        <v>143</v>
      </c>
      <c r="G52" s="417" t="s">
        <v>136</v>
      </c>
      <c r="H52" s="125"/>
      <c r="I52" s="421">
        <v>1</v>
      </c>
      <c r="J52" s="134"/>
      <c r="K52" s="350">
        <f t="shared" si="3"/>
        <v>0</v>
      </c>
      <c r="L52" s="291">
        <v>10753.753333387102</v>
      </c>
      <c r="M52" s="352"/>
      <c r="N52" s="116"/>
      <c r="O52" s="116"/>
      <c r="P52" s="116"/>
      <c r="Q52" s="351">
        <f t="shared" si="4"/>
        <v>10753.753333387102</v>
      </c>
      <c r="R52" s="409">
        <f t="shared" si="5"/>
        <v>1</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f t="shared" si="2"/>
        <v>56</v>
      </c>
      <c r="D53" s="337" t="s">
        <v>343</v>
      </c>
      <c r="E53" s="395" t="s">
        <v>381</v>
      </c>
      <c r="F53" s="416" t="s">
        <v>143</v>
      </c>
      <c r="G53" s="417" t="s">
        <v>145</v>
      </c>
      <c r="H53" s="125"/>
      <c r="I53" s="421">
        <v>1</v>
      </c>
      <c r="J53" s="134"/>
      <c r="K53" s="350">
        <f t="shared" si="3"/>
        <v>0</v>
      </c>
      <c r="L53" s="291">
        <v>105036.81631239258</v>
      </c>
      <c r="M53" s="352"/>
      <c r="N53" s="116"/>
      <c r="O53" s="116"/>
      <c r="P53" s="116"/>
      <c r="Q53" s="351">
        <f t="shared" si="4"/>
        <v>105036.81631239258</v>
      </c>
      <c r="R53" s="409">
        <f t="shared" si="5"/>
        <v>1</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f t="shared" si="2"/>
        <v>56</v>
      </c>
      <c r="D54" s="337" t="s">
        <v>384</v>
      </c>
      <c r="E54" s="395"/>
      <c r="F54" s="416" t="s">
        <v>143</v>
      </c>
      <c r="G54" s="417" t="s">
        <v>145</v>
      </c>
      <c r="H54" s="125"/>
      <c r="I54" s="421">
        <v>1</v>
      </c>
      <c r="J54" s="134"/>
      <c r="K54" s="350">
        <f t="shared" si="3"/>
        <v>0</v>
      </c>
      <c r="L54" s="291">
        <v>-44827.39</v>
      </c>
      <c r="M54" s="352"/>
      <c r="N54" s="116"/>
      <c r="O54" s="116"/>
      <c r="P54" s="116">
        <v>20157.89</v>
      </c>
      <c r="Q54" s="351">
        <f t="shared" si="4"/>
        <v>-24669.5</v>
      </c>
      <c r="R54" s="409">
        <f t="shared" si="5"/>
        <v>1</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37"/>
      <c r="E55" s="395"/>
      <c r="F55" s="416"/>
      <c r="G55" s="417"/>
      <c r="H55" s="125"/>
      <c r="I55" s="421"/>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37"/>
      <c r="E56" s="395"/>
      <c r="F56" s="416"/>
      <c r="G56" s="417"/>
      <c r="H56" s="125"/>
      <c r="I56" s="421"/>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1.1236458333333299" bottom="0.75" header="0.3" footer="0.3"/>
  <pageSetup scale="41" fitToWidth="0" fitToHeight="0" orientation="landscape" r:id="rId1"/>
  <headerFooter>
    <oddFooter>&amp;C&amp;"Arial,Regular"&amp;14Page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tabSelected="1" topLeftCell="A10" zoomScale="70" zoomScaleNormal="70" zoomScaleSheetLayoutView="40" workbookViewId="0">
      <selection activeCell="A56" sqref="A56:XFD1048576"/>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8"/>
      <c r="C1" s="458"/>
      <c r="D1" s="458"/>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31" t="s">
        <v>1</v>
      </c>
      <c r="C7" s="431"/>
      <c r="D7" s="9" t="str">
        <f>IF(ISBLANK('1. Information'!D8),"",'1. Information'!D8)</f>
        <v>Ventura</v>
      </c>
      <c r="F7" s="94" t="s">
        <v>2</v>
      </c>
      <c r="G7" s="109">
        <f>IF(ISBLANK('1. Information'!D7),"",'1. Information'!D7)</f>
        <v>43465</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9" t="s">
        <v>30</v>
      </c>
      <c r="H12" s="439"/>
      <c r="I12" s="439"/>
      <c r="J12" s="442"/>
      <c r="K12" s="308"/>
      <c r="L12"/>
      <c r="M12"/>
      <c r="N12"/>
      <c r="O12" s="108"/>
      <c r="P12" s="108"/>
    </row>
    <row r="13" spans="2:16" ht="65.25" customHeight="1" x14ac:dyDescent="0.25">
      <c r="B13" s="108"/>
      <c r="C13" s="460"/>
      <c r="D13" s="460"/>
      <c r="E13" s="460"/>
      <c r="F13" s="30" t="s">
        <v>300</v>
      </c>
      <c r="G13" s="44" t="s">
        <v>5</v>
      </c>
      <c r="H13" s="27" t="s">
        <v>6</v>
      </c>
      <c r="I13" s="27" t="s">
        <v>31</v>
      </c>
      <c r="J13" s="27" t="s">
        <v>15</v>
      </c>
      <c r="K13" s="306" t="s">
        <v>278</v>
      </c>
      <c r="L13"/>
      <c r="M13"/>
      <c r="N13"/>
      <c r="O13" s="108"/>
      <c r="P13" s="108"/>
    </row>
    <row r="14" spans="2:16" ht="15.75" x14ac:dyDescent="0.25">
      <c r="B14" s="101">
        <v>1</v>
      </c>
      <c r="C14" s="446" t="s">
        <v>160</v>
      </c>
      <c r="D14" s="446"/>
      <c r="E14" s="446"/>
      <c r="F14" s="290">
        <v>51934.41</v>
      </c>
      <c r="G14" s="45"/>
      <c r="H14" s="29"/>
      <c r="I14" s="29"/>
      <c r="J14" s="309"/>
      <c r="K14" s="293">
        <f>SUM(F14:J14)</f>
        <v>51934.41</v>
      </c>
      <c r="L14"/>
      <c r="M14"/>
      <c r="N14"/>
      <c r="O14" s="108"/>
      <c r="P14" s="108"/>
    </row>
    <row r="15" spans="2:16" ht="15.75" x14ac:dyDescent="0.25">
      <c r="B15" s="101">
        <v>2</v>
      </c>
      <c r="C15" s="446" t="s">
        <v>161</v>
      </c>
      <c r="D15" s="446"/>
      <c r="E15" s="446"/>
      <c r="F15" s="29">
        <v>82383.06</v>
      </c>
      <c r="G15" s="411"/>
      <c r="H15" s="412"/>
      <c r="I15" s="412"/>
      <c r="J15" s="413"/>
      <c r="K15" s="293">
        <f>SUM(F15:J15)</f>
        <v>82383.06</v>
      </c>
      <c r="L15"/>
      <c r="M15"/>
      <c r="N15"/>
      <c r="O15" s="108"/>
      <c r="P15" s="108"/>
    </row>
    <row r="16" spans="2:16" ht="15.75" x14ac:dyDescent="0.25">
      <c r="B16" s="405">
        <v>3</v>
      </c>
      <c r="C16" s="443" t="s">
        <v>314</v>
      </c>
      <c r="D16" s="444"/>
      <c r="E16" s="445"/>
      <c r="F16" s="367"/>
      <c r="G16" s="19"/>
      <c r="H16" s="19"/>
      <c r="I16" s="19"/>
      <c r="J16" s="19"/>
      <c r="K16" s="293">
        <f>SUM(F16:J16)</f>
        <v>0</v>
      </c>
      <c r="L16" s="404"/>
      <c r="M16" s="404"/>
      <c r="N16" s="404"/>
      <c r="O16" s="108"/>
      <c r="P16" s="108"/>
    </row>
    <row r="17" spans="2:17" ht="15.75" x14ac:dyDescent="0.25">
      <c r="B17" s="405">
        <v>4</v>
      </c>
      <c r="C17" s="443" t="s">
        <v>315</v>
      </c>
      <c r="D17" s="444"/>
      <c r="E17" s="445"/>
      <c r="F17" s="410"/>
      <c r="G17" s="19"/>
      <c r="H17" s="19"/>
      <c r="I17" s="19"/>
      <c r="J17" s="19"/>
      <c r="K17" s="293">
        <f>SUM(F17:J17)</f>
        <v>0</v>
      </c>
      <c r="L17" s="404"/>
      <c r="M17" s="404"/>
      <c r="N17" s="404"/>
      <c r="O17" s="108"/>
      <c r="P17" s="108"/>
    </row>
    <row r="18" spans="2:17" ht="15.75" x14ac:dyDescent="0.25">
      <c r="B18" s="101">
        <v>5</v>
      </c>
      <c r="C18" s="446" t="s">
        <v>162</v>
      </c>
      <c r="D18" s="446"/>
      <c r="E18" s="446"/>
      <c r="F18" s="28">
        <f>SUMIF($J$29:$J$132,"Project Administration",K$29:K$132)</f>
        <v>63475.39</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63475.39</v>
      </c>
      <c r="L18"/>
      <c r="M18"/>
      <c r="N18"/>
      <c r="O18" s="108"/>
      <c r="P18" s="108"/>
    </row>
    <row r="19" spans="2:17" ht="15.75" x14ac:dyDescent="0.25">
      <c r="B19" s="101">
        <v>6</v>
      </c>
      <c r="C19" s="446" t="s">
        <v>163</v>
      </c>
      <c r="D19" s="446"/>
      <c r="E19" s="446"/>
      <c r="F19" s="19">
        <f>SUMIF($J$29:$J$132,"Project Evaluation",K$29:K$132)</f>
        <v>18239.699999999997</v>
      </c>
      <c r="G19" s="47">
        <f>SUMIF($J$29:$J$132,"Project Evaluation",L$29:L$132)</f>
        <v>0</v>
      </c>
      <c r="H19" s="19">
        <f>SUMIF($J$29:$J$132,"Project Evaluation",M$29:M$132)</f>
        <v>0</v>
      </c>
      <c r="I19" s="19">
        <f>SUMIF($J$29:$J$132,"Project Evaluation",N$29:N$132)</f>
        <v>0</v>
      </c>
      <c r="J19" s="19">
        <f>SUMIF($J$29:$J$132,"Project Evaluation",O$29:O$132)</f>
        <v>0</v>
      </c>
      <c r="K19" s="293">
        <f t="shared" si="0"/>
        <v>18239.699999999997</v>
      </c>
      <c r="L19"/>
      <c r="M19"/>
      <c r="N19"/>
      <c r="O19" s="108"/>
      <c r="P19" s="108"/>
    </row>
    <row r="20" spans="2:17" ht="15.75" x14ac:dyDescent="0.25">
      <c r="B20" s="101">
        <v>7</v>
      </c>
      <c r="C20" s="446" t="s">
        <v>236</v>
      </c>
      <c r="D20" s="446"/>
      <c r="E20" s="446"/>
      <c r="F20" s="19">
        <f>SUMIF($J$29:$J$132,"Project Direct",K$29:K$132)</f>
        <v>541102.71</v>
      </c>
      <c r="G20" s="47">
        <f>SUMIF($J$29:$J$132,"Project Direct",L$29:L$132)</f>
        <v>213240.07</v>
      </c>
      <c r="H20" s="19">
        <f>SUMIF($J$29:$J$132,"Project Direct",M$29:M$132)</f>
        <v>0</v>
      </c>
      <c r="I20" s="19">
        <f>SUMIF($J$29:$J$132,"Project Direct",N$29:N$132)</f>
        <v>0</v>
      </c>
      <c r="J20" s="19">
        <f>SUMIF($J$29:$J$132,"Project Direct",O$29:O$132)</f>
        <v>0</v>
      </c>
      <c r="K20" s="293">
        <f t="shared" si="0"/>
        <v>754342.78</v>
      </c>
      <c r="L20"/>
      <c r="M20"/>
      <c r="N20"/>
      <c r="O20" s="108"/>
      <c r="P20" s="108"/>
    </row>
    <row r="21" spans="2:17" ht="15.75" x14ac:dyDescent="0.25">
      <c r="B21" s="101">
        <v>8</v>
      </c>
      <c r="C21" s="459" t="s">
        <v>164</v>
      </c>
      <c r="D21" s="459"/>
      <c r="E21" s="459"/>
      <c r="F21" s="18">
        <f>SUM(F18:F20)</f>
        <v>622817.79999999993</v>
      </c>
      <c r="G21" s="48">
        <f>SUM(G18:G20)</f>
        <v>213240.07</v>
      </c>
      <c r="H21" s="18">
        <f>SUM(H18:H20)</f>
        <v>0</v>
      </c>
      <c r="I21" s="18">
        <f>SUM(I18:I20)</f>
        <v>0</v>
      </c>
      <c r="J21" s="18">
        <f t="shared" ref="J21" si="1">SUM(J18:J20)</f>
        <v>0</v>
      </c>
      <c r="K21" s="18">
        <f t="shared" ref="K21" si="2">SUM(K18:K20)</f>
        <v>836057.87</v>
      </c>
      <c r="L21"/>
      <c r="M21"/>
      <c r="N21"/>
      <c r="O21" s="108"/>
      <c r="P21" s="108"/>
    </row>
    <row r="22" spans="2:17" ht="30.95" customHeight="1" x14ac:dyDescent="0.25">
      <c r="B22" s="101">
        <v>9</v>
      </c>
      <c r="C22" s="456" t="s">
        <v>316</v>
      </c>
      <c r="D22" s="456"/>
      <c r="E22" s="456"/>
      <c r="F22" s="20">
        <f t="shared" ref="F22:K22" si="3">SUM(F14:F15,F17,F18:F20)</f>
        <v>757135.27</v>
      </c>
      <c r="G22" s="20">
        <f t="shared" si="3"/>
        <v>213240.07</v>
      </c>
      <c r="H22" s="20">
        <f t="shared" si="3"/>
        <v>0</v>
      </c>
      <c r="I22" s="20">
        <f t="shared" si="3"/>
        <v>0</v>
      </c>
      <c r="J22" s="20">
        <f t="shared" si="3"/>
        <v>0</v>
      </c>
      <c r="K22" s="20">
        <f t="shared" si="3"/>
        <v>970375.34000000008</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7" t="s">
        <v>167</v>
      </c>
      <c r="E27" s="457"/>
      <c r="F27" s="457"/>
      <c r="G27" s="457"/>
      <c r="H27" s="457"/>
      <c r="I27" s="457"/>
      <c r="J27" s="457"/>
      <c r="K27" s="340" t="s">
        <v>28</v>
      </c>
      <c r="L27" s="457" t="s">
        <v>30</v>
      </c>
      <c r="M27" s="457"/>
      <c r="N27" s="457"/>
      <c r="O27" s="457"/>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f>IF(P32&lt;&gt;0,VLOOKUP($D$7,Info_County_Code,2,FALSE),"")</f>
        <v>56</v>
      </c>
      <c r="D29" s="395" t="s">
        <v>344</v>
      </c>
      <c r="E29" s="138"/>
      <c r="F29" s="138">
        <v>42880</v>
      </c>
      <c r="G29" s="138">
        <v>42887</v>
      </c>
      <c r="H29" s="116">
        <v>1471668</v>
      </c>
      <c r="I29" s="116"/>
      <c r="J29" s="118" t="s">
        <v>158</v>
      </c>
      <c r="K29" s="120">
        <v>42124.58</v>
      </c>
      <c r="L29" s="120"/>
      <c r="M29" s="116"/>
      <c r="N29" s="116"/>
      <c r="O29" s="129"/>
      <c r="P29" s="293">
        <f t="shared" ref="P29:P64" si="4">SUM(K29:O29)</f>
        <v>42124.58</v>
      </c>
    </row>
    <row r="30" spans="2:17" x14ac:dyDescent="0.2">
      <c r="B30" s="123">
        <v>1</v>
      </c>
      <c r="C30" s="139">
        <f t="shared" ref="C30:I31" si="5">IF(ISBLANK(C29),"",C29)</f>
        <v>56</v>
      </c>
      <c r="D30" s="397" t="str">
        <f t="shared" si="5"/>
        <v>Children's Accelerated Access To Services</v>
      </c>
      <c r="E30" s="140" t="str">
        <f t="shared" si="5"/>
        <v/>
      </c>
      <c r="F30" s="140">
        <f t="shared" si="5"/>
        <v>42880</v>
      </c>
      <c r="G30" s="140">
        <f t="shared" si="5"/>
        <v>42887</v>
      </c>
      <c r="H30" s="122">
        <f t="shared" si="5"/>
        <v>1471668</v>
      </c>
      <c r="I30" s="122" t="str">
        <f t="shared" si="5"/>
        <v/>
      </c>
      <c r="J30" s="119" t="s">
        <v>159</v>
      </c>
      <c r="K30" s="120">
        <v>12980.3</v>
      </c>
      <c r="L30" s="120"/>
      <c r="M30" s="116"/>
      <c r="N30" s="116"/>
      <c r="O30" s="129"/>
      <c r="P30" s="293">
        <f t="shared" si="4"/>
        <v>12980.3</v>
      </c>
    </row>
    <row r="31" spans="2:17" x14ac:dyDescent="0.2">
      <c r="B31" s="123">
        <v>1</v>
      </c>
      <c r="C31" s="139">
        <f t="shared" ref="C31:H31" si="6">IF(ISBLANK(C29),"",C29)</f>
        <v>56</v>
      </c>
      <c r="D31" s="398" t="str">
        <f t="shared" si="6"/>
        <v>Children's Accelerated Access To Services</v>
      </c>
      <c r="E31" s="141" t="str">
        <f t="shared" si="6"/>
        <v/>
      </c>
      <c r="F31" s="141">
        <f t="shared" si="6"/>
        <v>42880</v>
      </c>
      <c r="G31" s="141">
        <f t="shared" si="6"/>
        <v>42887</v>
      </c>
      <c r="H31" s="119">
        <f t="shared" si="6"/>
        <v>1471668</v>
      </c>
      <c r="I31" s="119" t="str">
        <f t="shared" si="5"/>
        <v/>
      </c>
      <c r="J31" s="119" t="s">
        <v>237</v>
      </c>
      <c r="K31" s="120">
        <v>367601.78</v>
      </c>
      <c r="L31" s="120">
        <v>213240.07</v>
      </c>
      <c r="M31" s="116"/>
      <c r="N31" s="116"/>
      <c r="O31" s="129"/>
      <c r="P31" s="293">
        <f t="shared" si="4"/>
        <v>580841.85000000009</v>
      </c>
    </row>
    <row r="32" spans="2:17" ht="15.75" x14ac:dyDescent="0.25">
      <c r="B32" s="96">
        <v>1</v>
      </c>
      <c r="C32" s="22">
        <f t="shared" ref="C32:I32" si="7">IF(ISBLANK(C29),"",C29)</f>
        <v>56</v>
      </c>
      <c r="D32" s="399" t="str">
        <f t="shared" si="7"/>
        <v>Children's Accelerated Access To Services</v>
      </c>
      <c r="E32" s="33" t="str">
        <f t="shared" si="7"/>
        <v/>
      </c>
      <c r="F32" s="33">
        <f t="shared" si="7"/>
        <v>42880</v>
      </c>
      <c r="G32" s="33">
        <f t="shared" si="7"/>
        <v>42887</v>
      </c>
      <c r="H32" s="34">
        <f t="shared" si="7"/>
        <v>1471668</v>
      </c>
      <c r="I32" s="34" t="str">
        <f t="shared" si="7"/>
        <v/>
      </c>
      <c r="J32" s="8" t="s">
        <v>263</v>
      </c>
      <c r="K32" s="50">
        <f>SUM(K29:K31)</f>
        <v>422706.66000000003</v>
      </c>
      <c r="L32" s="50">
        <f>SUM(L29:L31)</f>
        <v>213240.07</v>
      </c>
      <c r="M32" s="35">
        <f t="shared" ref="M32:O32" si="8">SUM(M29:M31)</f>
        <v>0</v>
      </c>
      <c r="N32" s="35">
        <f t="shared" si="8"/>
        <v>0</v>
      </c>
      <c r="O32" s="311">
        <f t="shared" si="8"/>
        <v>0</v>
      </c>
      <c r="P32" s="8">
        <f t="shared" si="4"/>
        <v>635946.73</v>
      </c>
    </row>
    <row r="33" spans="2:16" x14ac:dyDescent="0.2">
      <c r="B33" s="123">
        <v>2</v>
      </c>
      <c r="C33" s="137">
        <f>IF(P36&lt;&gt;0,VLOOKUP($D$7,Info_County_Code,2,FALSE),"")</f>
        <v>56</v>
      </c>
      <c r="D33" s="395" t="s">
        <v>345</v>
      </c>
      <c r="E33" s="138"/>
      <c r="F33" s="138">
        <v>42817</v>
      </c>
      <c r="G33" s="138">
        <v>42887</v>
      </c>
      <c r="H33" s="116">
        <v>838985</v>
      </c>
      <c r="I33" s="116"/>
      <c r="J33" s="118" t="str">
        <f>IF(NOT(ISBLANK(D33)),$J$29,"")</f>
        <v>Project Administration</v>
      </c>
      <c r="K33" s="120">
        <v>21350.81</v>
      </c>
      <c r="L33" s="120"/>
      <c r="M33" s="116"/>
      <c r="N33" s="116"/>
      <c r="O33" s="129"/>
      <c r="P33" s="293">
        <f t="shared" ref="P33:P36" si="9">SUM(K33:O33)</f>
        <v>21350.81</v>
      </c>
    </row>
    <row r="34" spans="2:16" x14ac:dyDescent="0.2">
      <c r="B34" s="123">
        <v>2</v>
      </c>
      <c r="C34" s="139">
        <f t="shared" ref="C34:I34" si="10">IF(ISBLANK(C33),"",C33)</f>
        <v>56</v>
      </c>
      <c r="D34" s="397" t="str">
        <f t="shared" si="10"/>
        <v>Healing Our Souls</v>
      </c>
      <c r="E34" s="140" t="str">
        <f t="shared" si="10"/>
        <v/>
      </c>
      <c r="F34" s="140">
        <f t="shared" si="10"/>
        <v>42817</v>
      </c>
      <c r="G34" s="140">
        <f t="shared" si="10"/>
        <v>42887</v>
      </c>
      <c r="H34" s="122">
        <f t="shared" si="10"/>
        <v>838985</v>
      </c>
      <c r="I34" s="122" t="str">
        <f t="shared" si="10"/>
        <v/>
      </c>
      <c r="J34" s="119" t="str">
        <f>IF(NOT(ISBLANK(D33)),$J$30,"")</f>
        <v>Project Evaluation</v>
      </c>
      <c r="K34" s="120">
        <v>5259.4</v>
      </c>
      <c r="L34" s="120"/>
      <c r="M34" s="116"/>
      <c r="N34" s="116"/>
      <c r="O34" s="129"/>
      <c r="P34" s="293">
        <f t="shared" si="9"/>
        <v>5259.4</v>
      </c>
    </row>
    <row r="35" spans="2:16" x14ac:dyDescent="0.2">
      <c r="B35" s="123">
        <v>2</v>
      </c>
      <c r="C35" s="139">
        <f t="shared" ref="C35:I35" si="11">IF(ISBLANK(C33),"",C33)</f>
        <v>56</v>
      </c>
      <c r="D35" s="398" t="str">
        <f t="shared" si="11"/>
        <v>Healing Our Souls</v>
      </c>
      <c r="E35" s="141" t="str">
        <f t="shared" si="11"/>
        <v/>
      </c>
      <c r="F35" s="141">
        <f t="shared" si="11"/>
        <v>42817</v>
      </c>
      <c r="G35" s="141">
        <f t="shared" si="11"/>
        <v>42887</v>
      </c>
      <c r="H35" s="119">
        <f t="shared" si="11"/>
        <v>838985</v>
      </c>
      <c r="I35" s="119" t="str">
        <f t="shared" si="11"/>
        <v/>
      </c>
      <c r="J35" s="119" t="str">
        <f>IF(NOT(ISBLANK(D33)),$J$31,"")</f>
        <v>Project Direct</v>
      </c>
      <c r="K35" s="120">
        <v>173500.93</v>
      </c>
      <c r="L35" s="120"/>
      <c r="M35" s="116"/>
      <c r="N35" s="116"/>
      <c r="O35" s="129"/>
      <c r="P35" s="293">
        <f t="shared" si="9"/>
        <v>173500.93</v>
      </c>
    </row>
    <row r="36" spans="2:16" ht="15.75" x14ac:dyDescent="0.25">
      <c r="B36" s="362">
        <v>2</v>
      </c>
      <c r="C36" s="22">
        <f t="shared" ref="C36:I36" si="12">IF(ISBLANK(C33),"",C33)</f>
        <v>56</v>
      </c>
      <c r="D36" s="399" t="str">
        <f t="shared" si="12"/>
        <v>Healing Our Souls</v>
      </c>
      <c r="E36" s="33" t="str">
        <f t="shared" si="12"/>
        <v/>
      </c>
      <c r="F36" s="33">
        <f t="shared" si="12"/>
        <v>42817</v>
      </c>
      <c r="G36" s="33">
        <f t="shared" si="12"/>
        <v>42887</v>
      </c>
      <c r="H36" s="34">
        <f t="shared" si="12"/>
        <v>838985</v>
      </c>
      <c r="I36" s="34" t="str">
        <f t="shared" si="12"/>
        <v/>
      </c>
      <c r="J36" s="8" t="str">
        <f>IF(NOT(ISBLANK(D33)),$J$32,"")</f>
        <v>Project Subtotal</v>
      </c>
      <c r="K36" s="50">
        <f t="shared" ref="K36" si="13">SUM(K33:K35)</f>
        <v>200111.13999999998</v>
      </c>
      <c r="L36" s="50">
        <f>SUM(L33:L35)</f>
        <v>0</v>
      </c>
      <c r="M36" s="35">
        <f t="shared" ref="M36:O36" si="14">SUM(M33:M35)</f>
        <v>0</v>
      </c>
      <c r="N36" s="35">
        <f t="shared" si="14"/>
        <v>0</v>
      </c>
      <c r="O36" s="311">
        <f t="shared" si="14"/>
        <v>0</v>
      </c>
      <c r="P36" s="8">
        <f t="shared" si="9"/>
        <v>200111.13999999998</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1.1236458333333299" bottom="0.75" header="0.3" footer="0.3"/>
  <pageSetup scale="41" fitToWidth="0" fitToHeight="0" orientation="landscape" r:id="rId1"/>
  <headerFooter>
    <oddFooter>&amp;C&amp;"Arial,Regular"&amp;14Page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tabSelected="1" zoomScale="70" zoomScaleNormal="70" zoomScaleSheetLayoutView="55" workbookViewId="0">
      <selection activeCell="A56" sqref="A56:XFD1048576"/>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Ventura</v>
      </c>
      <c r="F7" s="94" t="s">
        <v>2</v>
      </c>
      <c r="G7" s="38">
        <f>IF(ISBLANK('1. Information'!D7),"",'1. Information'!D7)</f>
        <v>43465</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1" t="s">
        <v>213</v>
      </c>
      <c r="H12" s="462"/>
      <c r="I12" s="462"/>
      <c r="J12" s="463"/>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6" t="s">
        <v>16</v>
      </c>
      <c r="D14" s="446"/>
      <c r="E14" s="443"/>
      <c r="F14" s="290"/>
      <c r="G14" s="142"/>
      <c r="H14" s="142"/>
      <c r="I14" s="142"/>
      <c r="J14" s="142"/>
      <c r="K14" s="292">
        <f>SUM(F14:J14)</f>
        <v>0</v>
      </c>
      <c r="L14"/>
      <c r="M14"/>
      <c r="N14" s="108"/>
      <c r="O14" s="108"/>
    </row>
    <row r="15" spans="1:22" ht="15.75" x14ac:dyDescent="0.25">
      <c r="A15" s="108"/>
      <c r="B15" s="101">
        <v>2</v>
      </c>
      <c r="C15" s="446" t="s">
        <v>17</v>
      </c>
      <c r="D15" s="446"/>
      <c r="E15" s="443"/>
      <c r="F15" s="290"/>
      <c r="G15" s="142"/>
      <c r="H15" s="142"/>
      <c r="I15" s="142"/>
      <c r="J15" s="142"/>
      <c r="K15" s="292">
        <f t="shared" ref="K15:K19" si="0">SUM(F15:J15)</f>
        <v>0</v>
      </c>
      <c r="L15"/>
      <c r="M15"/>
      <c r="N15" s="108"/>
      <c r="O15" s="108"/>
    </row>
    <row r="16" spans="1:22" ht="15.75" x14ac:dyDescent="0.25">
      <c r="A16" s="108"/>
      <c r="B16" s="101">
        <v>3</v>
      </c>
      <c r="C16" s="446" t="s">
        <v>238</v>
      </c>
      <c r="D16" s="446"/>
      <c r="E16" s="443"/>
      <c r="F16" s="290">
        <v>62253.2</v>
      </c>
      <c r="G16" s="355"/>
      <c r="H16" s="355"/>
      <c r="I16" s="355"/>
      <c r="J16" s="355"/>
      <c r="K16" s="292">
        <f t="shared" si="0"/>
        <v>62253.2</v>
      </c>
      <c r="L16"/>
      <c r="M16"/>
      <c r="N16" s="108"/>
      <c r="O16" s="108"/>
    </row>
    <row r="17" spans="1:22" ht="15.75" x14ac:dyDescent="0.25">
      <c r="A17" s="108"/>
      <c r="B17" s="101">
        <v>4</v>
      </c>
      <c r="C17" s="446" t="s">
        <v>221</v>
      </c>
      <c r="D17" s="446"/>
      <c r="E17" s="443"/>
      <c r="F17" s="367"/>
      <c r="G17" s="119"/>
      <c r="H17" s="119"/>
      <c r="I17" s="119"/>
      <c r="J17" s="119"/>
      <c r="K17" s="292">
        <f t="shared" si="0"/>
        <v>0</v>
      </c>
      <c r="L17"/>
      <c r="M17"/>
      <c r="N17" s="108"/>
      <c r="O17" s="108"/>
    </row>
    <row r="18" spans="1:22" ht="15.75" x14ac:dyDescent="0.25">
      <c r="A18" s="108"/>
      <c r="B18" s="101">
        <v>5</v>
      </c>
      <c r="C18" s="446" t="s">
        <v>222</v>
      </c>
      <c r="D18" s="446"/>
      <c r="E18" s="443"/>
      <c r="F18" s="367"/>
      <c r="G18" s="119"/>
      <c r="H18" s="119"/>
      <c r="I18" s="119"/>
      <c r="J18" s="119"/>
      <c r="K18" s="292">
        <f t="shared" si="0"/>
        <v>0</v>
      </c>
      <c r="L18"/>
      <c r="M18"/>
      <c r="N18" s="108"/>
      <c r="O18" s="108"/>
    </row>
    <row r="19" spans="1:22" ht="15.75" x14ac:dyDescent="0.25">
      <c r="A19" s="108"/>
      <c r="B19" s="101">
        <v>6</v>
      </c>
      <c r="C19" s="443" t="s">
        <v>174</v>
      </c>
      <c r="D19" s="444"/>
      <c r="E19" s="445"/>
      <c r="F19" s="122">
        <f>SUM(E28:E32)</f>
        <v>443659.23999999993</v>
      </c>
      <c r="G19" s="121">
        <f t="shared" ref="G19:I19" si="1">SUM(F28:F32)</f>
        <v>0</v>
      </c>
      <c r="H19" s="122">
        <f t="shared" si="1"/>
        <v>0</v>
      </c>
      <c r="I19" s="122">
        <f t="shared" si="1"/>
        <v>0</v>
      </c>
      <c r="J19" s="122">
        <f>SUM(I28:I32)</f>
        <v>126363.95</v>
      </c>
      <c r="K19" s="293">
        <f t="shared" si="0"/>
        <v>570023.18999999994</v>
      </c>
      <c r="L19"/>
      <c r="M19"/>
      <c r="N19" s="108"/>
      <c r="O19" s="108"/>
    </row>
    <row r="20" spans="1:22" ht="30.95" customHeight="1" x14ac:dyDescent="0.25">
      <c r="A20" s="108"/>
      <c r="B20" s="101">
        <v>7</v>
      </c>
      <c r="C20" s="456" t="s">
        <v>220</v>
      </c>
      <c r="D20" s="456"/>
      <c r="E20" s="456"/>
      <c r="F20" s="8">
        <f>SUM(F14:F16,F18:F19)</f>
        <v>505912.43999999994</v>
      </c>
      <c r="G20" s="43">
        <f t="shared" ref="G20:J20" si="2">SUM(G14:G16,G18:G19)</f>
        <v>0</v>
      </c>
      <c r="H20" s="7">
        <f t="shared" si="2"/>
        <v>0</v>
      </c>
      <c r="I20" s="7">
        <f t="shared" si="2"/>
        <v>0</v>
      </c>
      <c r="J20" s="7">
        <f t="shared" si="2"/>
        <v>126363.95</v>
      </c>
      <c r="K20" s="8">
        <f>SUM(K14:K16,K18:K19)</f>
        <v>632276.3899999999</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4" t="s">
        <v>30</v>
      </c>
      <c r="G26" s="464"/>
      <c r="H26" s="464"/>
      <c r="I26" s="464"/>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t="str">
        <f>IF(J28&lt;&gt;0,VLOOKUP($D$7,Info_County_Code,2,FALSE),"")</f>
        <v/>
      </c>
      <c r="D28" s="145" t="s">
        <v>105</v>
      </c>
      <c r="E28" s="117"/>
      <c r="F28" s="120"/>
      <c r="G28" s="117"/>
      <c r="H28" s="117"/>
      <c r="I28" s="312"/>
      <c r="J28" s="119">
        <f>SUM(E28:I28)</f>
        <v>0</v>
      </c>
      <c r="K28"/>
      <c r="L28"/>
      <c r="M28"/>
      <c r="N28"/>
      <c r="O28"/>
      <c r="P28"/>
      <c r="Q28"/>
      <c r="R28"/>
    </row>
    <row r="29" spans="1:22" ht="15.75" x14ac:dyDescent="0.25">
      <c r="A29" s="108"/>
      <c r="B29" s="101">
        <v>2</v>
      </c>
      <c r="C29" s="132">
        <f>IF(J29&lt;&gt;0,VLOOKUP($D$7,Info_County_Code,2,FALSE),"")</f>
        <v>56</v>
      </c>
      <c r="D29" s="145" t="s">
        <v>106</v>
      </c>
      <c r="E29" s="116">
        <v>24749.66</v>
      </c>
      <c r="F29" s="120"/>
      <c r="G29" s="116"/>
      <c r="H29" s="116"/>
      <c r="I29" s="313"/>
      <c r="J29" s="119">
        <f t="shared" ref="J29:J32" si="3">SUM(E29:I29)</f>
        <v>24749.66</v>
      </c>
      <c r="K29"/>
      <c r="L29"/>
      <c r="M29"/>
      <c r="N29"/>
      <c r="O29"/>
      <c r="P29"/>
      <c r="Q29"/>
      <c r="R29"/>
    </row>
    <row r="30" spans="1:22" ht="15.75" x14ac:dyDescent="0.25">
      <c r="A30" s="108"/>
      <c r="B30" s="101">
        <v>3</v>
      </c>
      <c r="C30" s="132">
        <f>IF(J30&lt;&gt;0,VLOOKUP($D$7,Info_County_Code,2,FALSE),"")</f>
        <v>56</v>
      </c>
      <c r="D30" s="145" t="s">
        <v>107</v>
      </c>
      <c r="E30" s="116"/>
      <c r="F30" s="120"/>
      <c r="G30" s="116"/>
      <c r="H30" s="116"/>
      <c r="I30" s="313">
        <v>103797.12</v>
      </c>
      <c r="J30" s="119">
        <f t="shared" si="3"/>
        <v>103797.12</v>
      </c>
      <c r="K30"/>
      <c r="L30"/>
      <c r="M30"/>
      <c r="N30"/>
      <c r="O30"/>
      <c r="P30"/>
      <c r="Q30"/>
      <c r="R30"/>
    </row>
    <row r="31" spans="1:22" ht="15.75" x14ac:dyDescent="0.25">
      <c r="A31" s="108"/>
      <c r="B31" s="144">
        <v>4</v>
      </c>
      <c r="C31" s="132">
        <f>IF(J31&lt;&gt;0,VLOOKUP($D$7,Info_County_Code,2,FALSE),"")</f>
        <v>56</v>
      </c>
      <c r="D31" s="145" t="s">
        <v>108</v>
      </c>
      <c r="E31" s="116">
        <v>391409.04</v>
      </c>
      <c r="F31" s="120"/>
      <c r="G31" s="116"/>
      <c r="H31" s="116"/>
      <c r="I31" s="313"/>
      <c r="J31" s="119">
        <f t="shared" si="3"/>
        <v>391409.04</v>
      </c>
      <c r="K31"/>
      <c r="L31"/>
      <c r="M31"/>
      <c r="N31"/>
      <c r="O31"/>
      <c r="P31"/>
      <c r="Q31"/>
      <c r="R31"/>
    </row>
    <row r="32" spans="1:22" ht="15.75" x14ac:dyDescent="0.25">
      <c r="A32" s="108"/>
      <c r="B32" s="101">
        <v>5</v>
      </c>
      <c r="C32" s="132">
        <f>IF(J32&lt;&gt;0,VLOOKUP($D$7,Info_County_Code,2,FALSE),"")</f>
        <v>56</v>
      </c>
      <c r="D32" s="145" t="s">
        <v>109</v>
      </c>
      <c r="E32" s="116">
        <v>27500.54</v>
      </c>
      <c r="F32" s="120"/>
      <c r="G32" s="116"/>
      <c r="H32" s="116"/>
      <c r="I32" s="313">
        <v>22566.83</v>
      </c>
      <c r="J32" s="119">
        <f t="shared" si="3"/>
        <v>50067.37</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1.1236458333333299" bottom="0.75" header="0.3" footer="0.3"/>
  <pageSetup scale="41" fitToWidth="0" fitToHeight="0" orientation="landscape" r:id="rId1"/>
  <headerFooter>
    <oddFooter>&amp;C&amp;"Arial,Regular"&amp;14Page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tabSelected="1" zoomScale="70" zoomScaleNormal="70" zoomScaleSheetLayoutView="40" workbookViewId="0">
      <selection activeCell="A56" sqref="A56:XFD1048576"/>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8"/>
      <c r="C1" s="458"/>
      <c r="D1" s="458"/>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Ventura</v>
      </c>
      <c r="E7" s="16"/>
      <c r="F7" s="95" t="s">
        <v>2</v>
      </c>
      <c r="G7" s="109">
        <f>IF(ISBLANK('1. Information'!D7),"",'1. Information'!D7)</f>
        <v>43465</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31" t="s">
        <v>213</v>
      </c>
      <c r="H12" s="431"/>
      <c r="I12" s="431"/>
      <c r="J12" s="431"/>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6" t="s">
        <v>189</v>
      </c>
      <c r="D14" s="446"/>
      <c r="E14" s="443"/>
      <c r="F14" s="142"/>
      <c r="G14" s="142"/>
      <c r="H14" s="142"/>
      <c r="I14" s="142"/>
      <c r="J14" s="142"/>
      <c r="K14" s="118">
        <f>SUM(F14:J14)</f>
        <v>0</v>
      </c>
      <c r="L14"/>
      <c r="M14"/>
      <c r="U14" s="108"/>
      <c r="V14" s="108"/>
      <c r="W14" s="108"/>
    </row>
    <row r="15" spans="2:23" x14ac:dyDescent="0.25">
      <c r="B15" s="101">
        <v>2</v>
      </c>
      <c r="C15" s="446" t="s">
        <v>188</v>
      </c>
      <c r="D15" s="446"/>
      <c r="E15" s="443"/>
      <c r="F15" s="142"/>
      <c r="G15" s="142"/>
      <c r="H15" s="142"/>
      <c r="I15" s="142"/>
      <c r="J15" s="142"/>
      <c r="K15" s="118">
        <f t="shared" ref="K15:K20" si="0">SUM(F15:J15)</f>
        <v>0</v>
      </c>
      <c r="L15"/>
      <c r="M15"/>
      <c r="U15" s="108"/>
      <c r="V15" s="108"/>
      <c r="W15" s="108"/>
    </row>
    <row r="16" spans="2:23" x14ac:dyDescent="0.25">
      <c r="B16" s="101">
        <v>3</v>
      </c>
      <c r="C16" s="446" t="s">
        <v>123</v>
      </c>
      <c r="D16" s="446"/>
      <c r="E16" s="443"/>
      <c r="F16" s="142"/>
      <c r="G16" s="142"/>
      <c r="H16" s="142"/>
      <c r="I16" s="142"/>
      <c r="J16" s="142"/>
      <c r="K16" s="118">
        <f t="shared" si="0"/>
        <v>0</v>
      </c>
      <c r="L16"/>
      <c r="M16"/>
      <c r="U16" s="108"/>
      <c r="V16" s="108"/>
      <c r="W16" s="108"/>
    </row>
    <row r="17" spans="2:23" x14ac:dyDescent="0.25">
      <c r="B17" s="101">
        <v>4</v>
      </c>
      <c r="C17" s="446" t="s">
        <v>122</v>
      </c>
      <c r="D17" s="446"/>
      <c r="E17" s="443"/>
      <c r="F17" s="142"/>
      <c r="G17" s="142"/>
      <c r="H17" s="142"/>
      <c r="I17" s="142"/>
      <c r="J17" s="142"/>
      <c r="K17" s="118">
        <f t="shared" si="0"/>
        <v>0</v>
      </c>
      <c r="L17"/>
      <c r="M17"/>
      <c r="U17" s="108"/>
      <c r="V17" s="108"/>
      <c r="W17" s="108"/>
    </row>
    <row r="18" spans="2:23" x14ac:dyDescent="0.25">
      <c r="B18" s="101">
        <v>5</v>
      </c>
      <c r="C18" s="446" t="s">
        <v>239</v>
      </c>
      <c r="D18" s="446"/>
      <c r="E18" s="443"/>
      <c r="F18" s="142"/>
      <c r="G18" s="142"/>
      <c r="H18" s="142"/>
      <c r="I18" s="142"/>
      <c r="J18" s="142"/>
      <c r="K18" s="118">
        <f t="shared" si="0"/>
        <v>0</v>
      </c>
      <c r="L18"/>
      <c r="M18"/>
      <c r="U18" s="108"/>
      <c r="V18" s="108"/>
      <c r="W18" s="108"/>
    </row>
    <row r="19" spans="2:23" x14ac:dyDescent="0.25">
      <c r="B19" s="101">
        <v>6</v>
      </c>
      <c r="C19" s="446" t="s">
        <v>240</v>
      </c>
      <c r="D19" s="446"/>
      <c r="E19" s="443"/>
      <c r="F19" s="142">
        <v>162462.76999999999</v>
      </c>
      <c r="G19" s="142"/>
      <c r="H19" s="142"/>
      <c r="I19" s="142"/>
      <c r="J19" s="355"/>
      <c r="K19" s="118">
        <f t="shared" si="0"/>
        <v>162462.76999999999</v>
      </c>
      <c r="L19"/>
      <c r="M19"/>
      <c r="U19" s="108"/>
      <c r="V19" s="108"/>
      <c r="W19" s="108"/>
    </row>
    <row r="20" spans="2:23" x14ac:dyDescent="0.25">
      <c r="B20" s="101">
        <v>7</v>
      </c>
      <c r="C20" s="446" t="s">
        <v>175</v>
      </c>
      <c r="D20" s="446"/>
      <c r="E20" s="446"/>
      <c r="F20" s="121">
        <f>SUM(G28:G47)</f>
        <v>1487594.91</v>
      </c>
      <c r="G20" s="121">
        <f>SUM(H28:H47)</f>
        <v>0</v>
      </c>
      <c r="H20" s="122">
        <f t="shared" ref="H20" si="1">SUM(I28:I47)</f>
        <v>0</v>
      </c>
      <c r="I20" s="122">
        <f>SUM(J28:J47)</f>
        <v>0</v>
      </c>
      <c r="J20" s="119">
        <f>SUM(K28:K47)</f>
        <v>0</v>
      </c>
      <c r="K20" s="118">
        <f t="shared" si="0"/>
        <v>1487594.91</v>
      </c>
      <c r="L20"/>
      <c r="M20"/>
      <c r="U20" s="108"/>
      <c r="V20" s="108"/>
      <c r="W20" s="108"/>
    </row>
    <row r="21" spans="2:23" ht="30.95" customHeight="1" x14ac:dyDescent="0.25">
      <c r="B21" s="101">
        <v>8</v>
      </c>
      <c r="C21" s="465" t="s">
        <v>20</v>
      </c>
      <c r="D21" s="465"/>
      <c r="E21" s="465"/>
      <c r="F21" s="43">
        <f>SUM(F14:F20)</f>
        <v>1650057.68</v>
      </c>
      <c r="G21" s="43">
        <f>SUM(G14:G20)</f>
        <v>0</v>
      </c>
      <c r="H21" s="7">
        <f t="shared" ref="H21:J21" si="2">SUM(H14:H20)</f>
        <v>0</v>
      </c>
      <c r="I21" s="7">
        <f t="shared" si="2"/>
        <v>0</v>
      </c>
      <c r="J21" s="299">
        <f t="shared" si="2"/>
        <v>0</v>
      </c>
      <c r="K21" s="7">
        <f t="shared" ref="K21" si="3">SUM(K14:K20)</f>
        <v>1650057.68</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4" t="s">
        <v>224</v>
      </c>
      <c r="E26" s="464"/>
      <c r="F26" s="464"/>
      <c r="G26" s="344" t="s">
        <v>214</v>
      </c>
      <c r="H26" s="464" t="s">
        <v>213</v>
      </c>
      <c r="I26" s="464"/>
      <c r="J26" s="464"/>
      <c r="K26" s="464"/>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f t="shared" ref="C28:C47" si="4">IF(L28&lt;&gt;0,VLOOKUP($D$7,Info_County_Code,2,FALSE),"")</f>
        <v>56</v>
      </c>
      <c r="D28" s="417" t="s">
        <v>365</v>
      </c>
      <c r="E28" s="151"/>
      <c r="F28" s="125" t="s">
        <v>177</v>
      </c>
      <c r="G28" s="117">
        <v>575785.07999999996</v>
      </c>
      <c r="H28" s="126"/>
      <c r="I28" s="126"/>
      <c r="J28" s="117"/>
      <c r="K28" s="312"/>
      <c r="L28" s="316">
        <f>SUM(G28:K28)</f>
        <v>575785.07999999996</v>
      </c>
      <c r="M28"/>
      <c r="U28" s="108"/>
      <c r="V28" s="108"/>
      <c r="W28" s="108"/>
    </row>
    <row r="29" spans="2:23" x14ac:dyDescent="0.25">
      <c r="B29" s="101">
        <v>2</v>
      </c>
      <c r="C29" s="132">
        <f t="shared" si="4"/>
        <v>56</v>
      </c>
      <c r="D29" s="416" t="s">
        <v>366</v>
      </c>
      <c r="E29" s="396"/>
      <c r="F29" s="125" t="s">
        <v>177</v>
      </c>
      <c r="G29" s="117">
        <v>911809.83</v>
      </c>
      <c r="H29" s="126"/>
      <c r="I29" s="120"/>
      <c r="J29" s="116"/>
      <c r="K29" s="313"/>
      <c r="L29" s="316">
        <f t="shared" ref="L29:L47" si="5">SUM(G29:K29)</f>
        <v>911809.83</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1.1236458333333299" bottom="0.75" header="0.3" footer="0.3"/>
  <pageSetup scale="41" fitToWidth="0" fitToHeight="0" orientation="landscape" r:id="rId1"/>
  <headerFooter>
    <oddFooter>&amp;C&amp;"Arial,Regular"&amp;14Page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2019-01-04T15:57:32Z</cp:lastPrinted>
  <dcterms:created xsi:type="dcterms:W3CDTF">2017-07-05T19:48:18Z</dcterms:created>
  <dcterms:modified xsi:type="dcterms:W3CDTF">2019-05-21T21:31:33Z</dcterms:modified>
</cp:coreProperties>
</file>