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2"/>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CSS'!$A$1:$L$47</definedName>
    <definedName name="_xlnm.Print_Area" localSheetId="5">'4. PEI'!$A$1:$Q$50</definedName>
    <definedName name="_xlnm.Print_Area" localSheetId="6">'5. INN'!$A$1:$P$40</definedName>
    <definedName name="_xlnm.Print_Area" localSheetId="7">'6. WET'!$B$2:$K$32</definedName>
    <definedName name="_xlnm.Print_Area" localSheetId="8">'7. CFTN'!$B$2:$L$47</definedName>
    <definedName name="_xlnm.Print_Area" localSheetId="9">'8. WET RP, HP'!$B$2:$J$15</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7"/>
  <c r="C14" i="7"/>
  <c r="C47" i="6"/>
  <c r="C46" i="6"/>
  <c r="C45" i="6"/>
  <c r="C44" i="6"/>
  <c r="C43" i="6"/>
  <c r="C42" i="6"/>
  <c r="C41" i="6"/>
  <c r="C40" i="6"/>
  <c r="C39" i="6"/>
  <c r="C38" i="6"/>
  <c r="C37" i="6"/>
  <c r="C36" i="6"/>
  <c r="C35" i="6"/>
  <c r="C34" i="6"/>
  <c r="C33" i="6"/>
  <c r="C32" i="6"/>
  <c r="C31" i="6"/>
  <c r="C32" i="5"/>
  <c r="C31" i="5"/>
  <c r="C30" i="5"/>
  <c r="C129" i="3"/>
  <c r="C125" i="3"/>
  <c r="C121" i="3"/>
  <c r="C117" i="3"/>
  <c r="C113" i="3"/>
  <c r="C109" i="3"/>
  <c r="C105" i="3"/>
  <c r="C101" i="3"/>
  <c r="C97" i="3"/>
  <c r="C93" i="3"/>
  <c r="C89" i="3"/>
  <c r="C85" i="3"/>
  <c r="C81" i="3"/>
  <c r="C77" i="3"/>
  <c r="C73" i="3"/>
  <c r="C69" i="3"/>
  <c r="C65" i="3"/>
  <c r="C61" i="3"/>
  <c r="C57" i="3"/>
  <c r="C53" i="3"/>
  <c r="C49" i="3"/>
  <c r="C45" i="3"/>
  <c r="C41" i="3"/>
  <c r="C37"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H34" i="19"/>
  <c r="H33" i="19"/>
  <c r="H32" i="19"/>
  <c r="H31" i="19"/>
  <c r="G33" i="19"/>
  <c r="G32" i="19"/>
  <c r="G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33" i="3" s="1"/>
  <c r="C131" i="3" l="1"/>
  <c r="C130" i="3"/>
  <c r="B3" i="20"/>
  <c r="B4" i="20"/>
  <c r="K30" i="19" l="1"/>
  <c r="K35" i="19" s="1"/>
  <c r="M27" i="19"/>
  <c r="D17" i="19" s="1"/>
  <c r="H27" i="19"/>
  <c r="G27" i="19"/>
  <c r="J15" i="7" l="1"/>
  <c r="J14" i="7"/>
  <c r="K19" i="6"/>
  <c r="K18" i="6"/>
  <c r="K17" i="6"/>
  <c r="K16" i="6"/>
  <c r="K15" i="6"/>
  <c r="K14" i="6"/>
  <c r="L29" i="6"/>
  <c r="C29" i="6" s="1"/>
  <c r="L30" i="6"/>
  <c r="C30" i="6" s="1"/>
  <c r="L31" i="6"/>
  <c r="L32" i="6"/>
  <c r="L33" i="6"/>
  <c r="L34" i="6"/>
  <c r="L35" i="6"/>
  <c r="L36" i="6"/>
  <c r="L37" i="6"/>
  <c r="L38" i="6"/>
  <c r="L39" i="6"/>
  <c r="L40" i="6"/>
  <c r="L41" i="6"/>
  <c r="L42" i="6"/>
  <c r="L43" i="6"/>
  <c r="L44" i="6"/>
  <c r="L45" i="6"/>
  <c r="L46" i="6"/>
  <c r="L47" i="6"/>
  <c r="L28" i="6"/>
  <c r="C28" i="6" s="1"/>
  <c r="J32" i="5"/>
  <c r="J31" i="5"/>
  <c r="J30" i="5"/>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40" i="3" l="1"/>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P72" i="3"/>
  <c r="P44" i="3"/>
  <c r="P76" i="3"/>
  <c r="P48" i="3"/>
  <c r="P80" i="3"/>
  <c r="P32" i="3"/>
  <c r="C29" i="3" s="1"/>
  <c r="C86" i="3"/>
  <c r="C87" i="3"/>
  <c r="C82" i="3"/>
  <c r="C83" i="3"/>
  <c r="C78" i="3"/>
  <c r="C79" i="3"/>
  <c r="C70" i="3"/>
  <c r="C71" i="3"/>
  <c r="C66" i="3"/>
  <c r="C67" i="3"/>
  <c r="C76" i="3"/>
  <c r="C75" i="3"/>
  <c r="C64" i="3"/>
  <c r="C63" i="3"/>
  <c r="C60" i="3"/>
  <c r="C58" i="3"/>
  <c r="C56" i="3"/>
  <c r="C55" i="3"/>
  <c r="C50" i="3"/>
  <c r="C52" i="3"/>
  <c r="C46" i="3"/>
  <c r="C47" i="3"/>
  <c r="C44" i="3"/>
  <c r="C43" i="3"/>
  <c r="C38" i="3"/>
  <c r="C39" i="3"/>
  <c r="K36" i="2" l="1"/>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I21" i="6"/>
  <c r="F20" i="6"/>
  <c r="K20" i="6" s="1"/>
  <c r="J21" i="6"/>
  <c r="K21" i="6" l="1"/>
  <c r="G21" i="6"/>
  <c r="F21" i="6"/>
  <c r="H30" i="19" s="1"/>
  <c r="H35" i="19" s="1"/>
  <c r="G19" i="5"/>
  <c r="H19" i="5"/>
  <c r="H20" i="5" s="1"/>
  <c r="I19" i="5"/>
  <c r="I20" i="5" s="1"/>
  <c r="J19" i="5"/>
  <c r="J20" i="5" s="1"/>
  <c r="G34" i="19" s="1"/>
  <c r="G35" i="19"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C15" i="14" s="1"/>
  <c r="I14" i="14"/>
  <c r="C14" i="14" s="1"/>
  <c r="I13" i="14"/>
  <c r="C13" i="14" s="1"/>
  <c r="C32" i="3" l="1"/>
  <c r="C31" i="3"/>
  <c r="C30" i="3"/>
  <c r="F19" i="3"/>
  <c r="F18" i="3"/>
  <c r="G19" i="3"/>
  <c r="H18" i="3"/>
  <c r="I18" i="3"/>
  <c r="J18" i="3"/>
  <c r="J19" i="3"/>
  <c r="G18" i="3"/>
  <c r="H19" i="3"/>
  <c r="I19" i="3"/>
  <c r="J22" i="3" l="1"/>
  <c r="F34" i="19" s="1"/>
  <c r="N34" i="19" s="1"/>
  <c r="I22" i="3"/>
  <c r="F33" i="19" s="1"/>
  <c r="N33" i="19" s="1"/>
  <c r="G22" i="3"/>
  <c r="F31" i="19" s="1"/>
  <c r="H22" i="3"/>
  <c r="F22" i="3"/>
  <c r="F30" i="19" s="1"/>
  <c r="K18" i="3"/>
  <c r="K19" i="3"/>
  <c r="D40" i="19" s="1"/>
  <c r="I21" i="3"/>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<sst xmlns="http://schemas.openxmlformats.org/spreadsheetml/2006/main" count="840" uniqueCount="357">
  <si>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</si>
  <si>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</si>
  <si>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</si>
  <si>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</si>
  <si>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</si>
  <si>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</si>
  <si>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</si>
  <si>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</si>
  <si>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</si>
  <si>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</si>
  <si>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</si>
  <si>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</si>
  <si>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</si>
  <si>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</si>
  <si>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</si>
  <si>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</si>
  <si>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</si>
  <si>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</si>
  <si>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</si>
  <si>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</si>
  <si>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</si>
  <si>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</si>
  <si>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</si>
  <si>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</si>
  <si>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</si>
  <si>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</si>
  <si>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</si>
  <si>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</si>
  <si>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</si>
  <si>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</si>
  <si>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</si>
  <si>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</si>
  <si>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</si>
  <si>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</si>
  <si>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</si>
  <si>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</si>
  <si>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</si>
  <si>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</si>
  <si>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</si>
  <si>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</si>
  <si>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</si>
  <si>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</si>
  <si>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</si>
  <si>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</si>
  <si>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</si>
  <si>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</si>
  <si>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</si>
  <si>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</si>
  <si>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</si>
  <si>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</si>
  <si>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</si>
  <si>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</si>
  <si>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</si>
  <si>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</si>
  <si>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</si>
  <si>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</si>
  <si>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</si>
  <si>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</si>
  <si>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</si>
  <si>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</si>
  <si>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</si>
  <si>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</si>
  <si>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</si>
  <si>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</si>
  <si>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</si>
  <si>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</si>
  <si>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</si>
  <si>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</si>
  <si>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</si>
  <si>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</si>
  <si>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</si>
  <si>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</si>
  <si>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</si>
  <si>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</si>
  <si>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</si>
  <si>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</si>
  <si>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</si>
  <si>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</si>
  <si>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</si>
  <si>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</si>
  <si>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</si>
  <si>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</si>
  <si>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</si>
  <si>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</si>
  <si>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</si>
  <si>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</si>
  <si>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</si>
  <si>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</si>
  <si>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</si>
  <si>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</si>
  <si>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</si>
  <si>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</si>
  <si>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</si>
  <si>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</si>
  <si>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</si>
  <si>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</si>
  <si>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</si>
  <si>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</si>
  <si>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</si>
  <si>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</si>
  <si>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</si>
  <si>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</si>
  <si>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</si>
  <si>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</si>
  <si>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</si>
  <si>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</si>
  <si>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</si>
  <si>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</si>
  <si>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</si>
  <si>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</si>
  <si>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</si>
  <si>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</si>
  <si>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</si>
  <si>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</si>
  <si>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</si>
  <si>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</si>
  <si>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</si>
  <si>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</si>
  <si>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</si>
  <si>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</si>
  <si>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</si>
  <si>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</si>
  <si>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</si>
  <si>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</si>
  <si>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</si>
  <si>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</si>
  <si>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</si>
  <si>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</si>
  <si>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</si>
  <si>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</si>
  <si>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</si>
  <si>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</si>
  <si>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</si>
  <si>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</si>
  <si>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</si>
  <si>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</si>
  <si>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</si>
  <si>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</si>
  <si>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</si>
  <si>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</si>
  <si>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</si>
  <si>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</si>
  <si>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</si>
  <si>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</si>
  <si>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</si>
  <si>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</si>
  <si>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</si>
  <si>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</si>
  <si>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</si>
  <si>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</si>
  <si>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</si>
  <si>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</si>
  <si>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</si>
  <si>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</si>
  <si>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</si>
  <si>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</si>
  <si>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</si>
  <si>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</si>
  <si>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</si>
  <si>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</si>
  <si>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</si>
  <si>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</si>
  <si>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</si>
  <si>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</si>
  <si>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</si>
  <si>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</si>
  <si>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</si>
  <si>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</si>
  <si>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</si>
  <si>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</si>
  <si>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</si>
  <si>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</si>
  <si>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</si>
  <si>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</si>
  <si>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</si>
  <si>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</si>
  <si>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</si>
  <si>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</si>
  <si>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</si>
  <si>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</si>
  <si>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</si>
  <si>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</si>
  <si>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</si>
  <si>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</si>
  <si>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</si>
  <si>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</si>
  <si>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</si>
  <si>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</si>
  <si>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</si>
  <si>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</si>
  <si>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</si>
  <si>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</si>
  <si>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</si>
  <si>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</si>
  <si>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</si>
  <si>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</si>
  <si>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</si>
  <si>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</si>
  <si>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</si>
  <si>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</si>
  <si>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</si>
  <si>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</si>
  <si>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</si>
  <si>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</si>
  <si>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</si>
  <si>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</si>
  <si>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</si>
  <si>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</si>
  <si>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</si>
  <si>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</si>
  <si>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</si>
  <si>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</si>
  <si>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</si>
  <si>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</si>
  <si>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</si>
  <si>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</si>
  <si>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</si>
  <si>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</si>
  <si>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</si>
  <si>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</si>
  <si>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</si>
  <si>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</si>
  <si>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</si>
  <si>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</si>
  <si>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</si>
  <si>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</si>
  <si>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</si>
  <si>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</si>
  <si>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</si>
  <si>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</si>
  <si>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</si>
  <si>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</si>
  <si>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</si>
  <si>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</si>
  <si>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</si>
  <si>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</si>
  <si>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</si>
  <si>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</si>
  <si>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</si>
  <si>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</si>
  <si>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</si>
  <si>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</si>
  <si>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</si>
  <si>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</si>
  <si>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</si>
  <si>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</si>
  <si>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</si>
  <si>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</si>
  <si>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</si>
  <si>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</si>
  <si>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</si>
  <si>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</si>
  <si>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</si>
  <si>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</si>
  <si>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</si>
  <si>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</si>
  <si>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</si>
  <si>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</si>
  <si>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</si>
  <si>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</si>
  <si>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</si>
  <si>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</si>
  <si>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</si>
  <si>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</si>
  <si>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</si>
  <si>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</si>
  <si>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</si>
  <si>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</si>
  <si>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</si>
  <si>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</si>
  <si>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</si>
  <si>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</si>
  <si>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</si>
  <si>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</si>
  <si>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</si>
  <si>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</si>
  <si>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</si>
  <si>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</si>
  <si>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</si>
  <si>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</si>
  <si>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</si>
  <si>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</si>
  <si>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</si>
  <si>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</si>
  <si>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</si>
  <si>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</si>
  <si>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</si>
  <si>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</si>
  <si>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</si>
  <si>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</si>
  <si>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</si>
  <si>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</si>
  <si>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</si>
  <si>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</si>
  <si>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</si>
  <si>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</si>
  <si>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</si>
  <si>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</si>
  <si>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</si>
  <si>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</si>
  <si>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</si>
  <si>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</si>
  <si>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</si>
  <si>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</si>
  <si>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</si>
  <si>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</si>
  <si>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</si>
  <si>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</si>
  <si>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</si>
  <si>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</si>
  <si>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</si>
  <si>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</si>
  <si>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</si>
  <si>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</si>
  <si>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</si>
  <si>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</si>
  <si>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</si>
  <si>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</si>
  <si>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</si>
  <si>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</si>
  <si>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</si>
  <si>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</si>
  <si>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137 N. Cottonwood St.</t>
  </si>
  <si>
    <t>Woodland</t>
  </si>
  <si>
    <t>Grace Brown</t>
  </si>
  <si>
    <t>Accountant II</t>
  </si>
  <si>
    <t>grace.brown@yolocounty.org</t>
  </si>
  <si>
    <t>530-666-8947</t>
  </si>
  <si>
    <t>Children's Mental Health</t>
  </si>
  <si>
    <t>Pathways to Independence for TAY</t>
  </si>
  <si>
    <t>Adult Wellness Alternatives</t>
  </si>
  <si>
    <t>Older Adult Outreach &amp; Assessment</t>
  </si>
  <si>
    <t>Mobile Tele-Mental Health</t>
  </si>
  <si>
    <t>Harm Reduction Model Co-Occur D/O (CODHR)</t>
  </si>
  <si>
    <t>Navigation Centers</t>
  </si>
  <si>
    <t>Peer and Family Member Led Support Svcs.</t>
  </si>
  <si>
    <t>Early Childhood MH Access and Linkage</t>
  </si>
  <si>
    <t>School-Based Access/Urban Districts</t>
  </si>
  <si>
    <t>School-Based Access/Rural Districts</t>
  </si>
  <si>
    <t>TAY Welcome to Wellness Services</t>
  </si>
  <si>
    <t>School-Based Mentorship/Strengths-Bldg., Urban</t>
  </si>
  <si>
    <t>School-Based Mentorship/Strengths-Bldg., Rural</t>
  </si>
  <si>
    <t>Senior Peer Counseling Program</t>
  </si>
  <si>
    <t>Early Signs Training and Assistance</t>
  </si>
  <si>
    <t>Crisis Intervention Training</t>
  </si>
  <si>
    <t>SB82 Crisis Intervention Program Augmentation</t>
  </si>
  <si>
    <t>TAY Speakers' Bureau</t>
  </si>
  <si>
    <t>Latino Outreach/MH Promotores Program</t>
  </si>
  <si>
    <t>LGBT+ Initiative</t>
  </si>
  <si>
    <t>Board and Care Study Project</t>
  </si>
  <si>
    <t>First Responders' Initiative</t>
  </si>
  <si>
    <t>Davis Wellness Center Remodel</t>
  </si>
  <si>
    <t>Acquisition &amp; Rehab: Residential Treatment Cntr.</t>
  </si>
  <si>
    <t>IT Hardware, Software, Subscription Svcs.</t>
  </si>
  <si>
    <t>Early Signs Cisis Intervention Training (CIT)</t>
  </si>
  <si>
    <t>Early Signs Project: Crisis Intervention Program (SB82) Augmentation</t>
  </si>
  <si>
    <t>Ledger estimates reversed, overhead allocated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</si>
</sst>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6" x14ac:dyDescent="0.3">
      <c r="A1" s="52" t="s">
        <v>270</v>
      </c>
    </row>
    <row r="2" spans="1:6" x14ac:dyDescent="0.25">
      <c r="A2" s="238" t="s">
        <v>273</v>
      </c>
    </row>
    <row r="3" spans="1:6" x14ac:dyDescent="0.25">
      <c r="A3" s="237" t="s">
        <v>271</v>
      </c>
    </row>
    <row r="16" spans="1:6" x14ac:dyDescent="0.25">
      <c r="F16" s="240"/>
    </row>
    <row r="26" spans="5:6" x14ac:dyDescent="0.25">
      <c r="E26" s="241"/>
    </row>
    <row r="28" spans="5:6" x14ac:dyDescent="0.25">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5" t="s">
        <v>1</v>
      </c>
      <c r="C7" s="445"/>
      <c r="D7" s="9" t="str">
        <f>IF(ISBLANK('1. Information'!D8),"",'1. Information'!D8)</f>
        <v>Yolo</v>
      </c>
      <c r="F7" s="94" t="s">
        <v>2</v>
      </c>
      <c r="G7" s="109">
        <f>IF(ISBLANK('1. Information'!D7),"",'1. Information'!D7)</f>
        <v>43479</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L120"/>
  <sheetViews>
    <sheetView showGridLines="0" zoomScale="70" zoomScaleNormal="70" workbookViewId="0">
      <selection activeCell="G13" sqref="G1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5" t="s">
        <v>1</v>
      </c>
      <c r="C7" s="445"/>
      <c r="D7" s="9" t="str">
        <f>IF(ISBLANK('1. Information'!D8),"",'1. Information'!D8)</f>
        <v>Yolo</v>
      </c>
      <c r="E7" s="3"/>
      <c r="F7" s="97" t="s">
        <v>178</v>
      </c>
      <c r="G7" s="109">
        <f>IF(ISBLANK('1. Information'!D7),"",'1. Information'!D7)</f>
        <v>43479</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f t="shared" ref="C13:C42" si="0">IF(F13&lt;&gt;0,VLOOKUP($D$7,Info_County_Code,2,FALSE),"")</f>
        <v>57</v>
      </c>
      <c r="D13" s="149" t="s">
        <v>34</v>
      </c>
      <c r="E13" s="337" t="s">
        <v>291</v>
      </c>
      <c r="F13" s="336">
        <v>3155315.89</v>
      </c>
      <c r="G13" s="364" t="s">
        <v>356</v>
      </c>
    </row>
    <row r="14" spans="2:7" x14ac:dyDescent="0.2">
      <c r="B14" s="101">
        <v>2</v>
      </c>
      <c r="C14" s="132">
        <f t="shared" si="0"/>
        <v>57</v>
      </c>
      <c r="D14" s="149" t="s">
        <v>35</v>
      </c>
      <c r="E14" s="337" t="s">
        <v>291</v>
      </c>
      <c r="F14" s="150">
        <v>-94052.28</v>
      </c>
      <c r="G14" s="364" t="s">
        <v>356</v>
      </c>
    </row>
    <row r="15" spans="2:7" x14ac:dyDescent="0.2">
      <c r="B15" s="101">
        <v>3</v>
      </c>
      <c r="C15" s="132">
        <f t="shared" si="0"/>
        <v>57</v>
      </c>
      <c r="D15" s="149" t="s">
        <v>36</v>
      </c>
      <c r="E15" s="337" t="s">
        <v>291</v>
      </c>
      <c r="F15" s="150">
        <v>-89272.93</v>
      </c>
      <c r="G15" s="364" t="s">
        <v>356</v>
      </c>
    </row>
    <row r="16" spans="2:7" x14ac:dyDescent="0.2">
      <c r="B16" s="101">
        <v>4</v>
      </c>
      <c r="C16" s="132">
        <f t="shared" si="0"/>
        <v>57</v>
      </c>
      <c r="D16" s="149" t="s">
        <v>37</v>
      </c>
      <c r="E16" s="337" t="s">
        <v>291</v>
      </c>
      <c r="F16" s="150">
        <v>-111422.26</v>
      </c>
      <c r="G16" s="364" t="s">
        <v>356</v>
      </c>
    </row>
    <row r="17" spans="2:7" x14ac:dyDescent="0.2">
      <c r="B17" s="101">
        <v>5</v>
      </c>
      <c r="C17" s="132">
        <f t="shared" si="0"/>
        <v>57</v>
      </c>
      <c r="D17" s="149" t="s">
        <v>38</v>
      </c>
      <c r="E17" s="337" t="s">
        <v>291</v>
      </c>
      <c r="F17" s="152">
        <v>-640354.52</v>
      </c>
      <c r="G17" s="364" t="s">
        <v>356</v>
      </c>
    </row>
    <row r="18" spans="2:7" x14ac:dyDescent="0.2">
      <c r="B18" s="101">
        <v>6</v>
      </c>
      <c r="C18" s="132">
        <f t="shared" si="0"/>
        <v>57</v>
      </c>
      <c r="D18" s="149" t="s">
        <v>34</v>
      </c>
      <c r="E18" s="133" t="s">
        <v>290</v>
      </c>
      <c r="F18" s="152">
        <v>-4505630.42</v>
      </c>
      <c r="G18" s="364" t="s">
        <v>356</v>
      </c>
    </row>
    <row r="19" spans="2:7" x14ac:dyDescent="0.2">
      <c r="B19" s="101">
        <v>7</v>
      </c>
      <c r="C19" s="132">
        <f t="shared" si="0"/>
        <v>57</v>
      </c>
      <c r="D19" s="149" t="s">
        <v>35</v>
      </c>
      <c r="E19" s="133" t="s">
        <v>290</v>
      </c>
      <c r="F19" s="152">
        <v>-1261709.6000000001</v>
      </c>
      <c r="G19" s="364" t="s">
        <v>356</v>
      </c>
    </row>
    <row r="20" spans="2:7" x14ac:dyDescent="0.2">
      <c r="B20" s="101">
        <v>8</v>
      </c>
      <c r="C20" s="132">
        <f t="shared" si="0"/>
        <v>57</v>
      </c>
      <c r="D20" s="149" t="s">
        <v>36</v>
      </c>
      <c r="E20" s="133" t="s">
        <v>290</v>
      </c>
      <c r="F20" s="152">
        <v>-379203.72</v>
      </c>
      <c r="G20" s="364" t="s">
        <v>356</v>
      </c>
    </row>
    <row r="21" spans="2:7" x14ac:dyDescent="0.2">
      <c r="B21" s="101">
        <v>9</v>
      </c>
      <c r="C21" s="132">
        <f t="shared" si="0"/>
        <v>57</v>
      </c>
      <c r="D21" s="149" t="s">
        <v>37</v>
      </c>
      <c r="E21" s="133" t="s">
        <v>290</v>
      </c>
      <c r="F21" s="152">
        <v>-144218.15</v>
      </c>
      <c r="G21" s="364" t="s">
        <v>356</v>
      </c>
    </row>
    <row r="22" spans="2:7" x14ac:dyDescent="0.2">
      <c r="B22" s="101">
        <v>10</v>
      </c>
      <c r="C22" s="132">
        <f t="shared" si="0"/>
        <v>57</v>
      </c>
      <c r="D22" s="149" t="s">
        <v>38</v>
      </c>
      <c r="E22" s="133" t="s">
        <v>290</v>
      </c>
      <c r="F22" s="152">
        <v>-325396.86</v>
      </c>
      <c r="G22" s="364" t="s">
        <v>356</v>
      </c>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5" right="0.5" top="0.28000000000000003" bottom="0.37" header="0.17" footer="0.24"/>
  <pageSetup scale="85" fitToHeight="0" orientation="landscape" r:id="rId1"/>
  <headerFooter>
    <oddFooter>&amp;C&amp;"Arial,Regular"&amp;16Page &amp;P of &amp;N</oddFooter>
  </headerFooter>
  <rowBreaks count="2" manualBreakCount="2">
    <brk id="43" max="16383" man="1"/>
    <brk id="7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H16" sqref="H1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5" t="s">
        <v>1</v>
      </c>
      <c r="C7" s="445"/>
      <c r="D7" s="9" t="str">
        <f>IF(ISBLANK('1. Information'!D8),"",'1. Information'!D8)</f>
        <v>Yolo</v>
      </c>
      <c r="F7" s="94" t="s">
        <v>2</v>
      </c>
      <c r="G7" s="38">
        <f>IF(ISBLANK('1. Information'!D7),"",'1. Information'!D7)</f>
        <v>43479</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57</v>
      </c>
      <c r="D13" s="379" t="s">
        <v>291</v>
      </c>
      <c r="E13" s="149" t="s">
        <v>182</v>
      </c>
      <c r="F13" s="390" t="s">
        <v>34</v>
      </c>
      <c r="G13" s="92">
        <v>5224320</v>
      </c>
      <c r="H13" s="92">
        <v>-506318.5</v>
      </c>
      <c r="I13" s="91">
        <f>SUM(G13:H13)</f>
        <v>4718001.5</v>
      </c>
    </row>
    <row r="14" spans="2:9" x14ac:dyDescent="0.2">
      <c r="B14" s="101">
        <v>2</v>
      </c>
      <c r="C14" s="132">
        <f t="shared" si="0"/>
        <v>57</v>
      </c>
      <c r="D14" s="379" t="s">
        <v>290</v>
      </c>
      <c r="E14" s="149" t="s">
        <v>182</v>
      </c>
      <c r="F14" s="390" t="s">
        <v>34</v>
      </c>
      <c r="G14" s="92">
        <v>13321133.039999999</v>
      </c>
      <c r="H14" s="92">
        <v>-3231622.32</v>
      </c>
      <c r="I14" s="91">
        <f t="shared" ref="I14:I52" si="1">SUM(G14:H14)</f>
        <v>10089510.719999999</v>
      </c>
    </row>
    <row r="15" spans="2:9" x14ac:dyDescent="0.2">
      <c r="B15" s="101">
        <v>3</v>
      </c>
      <c r="C15" s="132">
        <f t="shared" si="0"/>
        <v>57</v>
      </c>
      <c r="D15" s="379" t="s">
        <v>290</v>
      </c>
      <c r="E15" s="149" t="s">
        <v>182</v>
      </c>
      <c r="F15" s="390" t="s">
        <v>35</v>
      </c>
      <c r="G15" s="92">
        <v>2710664.04</v>
      </c>
      <c r="H15" s="92">
        <v>-363.07</v>
      </c>
      <c r="I15" s="91">
        <f t="shared" si="1"/>
        <v>2710300.97</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7" right="0.7" top="0.75" bottom="0.75" header="0.3" footer="0.3"/>
  <pageSetup scale="63" orientation="portrait"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5"/>
    <row r="2" spans="1:7" x14ac:dyDescent="0.25">
      <c r="A2" s="2"/>
      <c r="B2" s="391" t="str">
        <f>'1. Information'!B2</f>
        <v>Version 7/1/2018</v>
      </c>
      <c r="C2" s="2"/>
    </row>
    <row r="3" spans="1:7" ht="21" customHeight="1" x14ac:dyDescent="0.25">
      <c r="A3" s="2"/>
      <c r="B3" s="53" t="str">
        <f>'1. Information'!B3</f>
        <v>Annual Mental Health Services Act Revenue and Expenditure Report</v>
      </c>
      <c r="C3" s="2"/>
    </row>
    <row r="4" spans="1:7" ht="17.45" x14ac:dyDescent="0.3">
      <c r="A4" s="2"/>
      <c r="B4" s="54" t="str">
        <f>'1. Information'!B4</f>
        <v>Fiscal Year 2017-18</v>
      </c>
      <c r="C4" s="2"/>
    </row>
    <row r="5" spans="1:7" ht="17.45" x14ac:dyDescent="0.25">
      <c r="B5" s="242" t="s">
        <v>282</v>
      </c>
    </row>
    <row r="6" spans="1:7" ht="15.6" x14ac:dyDescent="0.3">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5"/>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5">
      <c r="B17" s="377" t="s">
        <v>268</v>
      </c>
      <c r="C17" s="377" t="s">
        <v>265</v>
      </c>
    </row>
    <row r="18" spans="2:3" ht="54" customHeight="1" x14ac:dyDescent="0.25">
      <c r="B18" s="377" t="s">
        <v>269</v>
      </c>
      <c r="C18" s="378" t="s">
        <v>320</v>
      </c>
    </row>
    <row r="19" spans="2:3" ht="50.25" customHeight="1" x14ac:dyDescent="0.25">
      <c r="B19" s="237"/>
    </row>
    <row r="20" spans="2:3" x14ac:dyDescent="0.25"/>
    <row r="21" spans="2:3" x14ac:dyDescent="0.25"/>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scale="53" fitToHeight="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G20"/>
  <sheetViews>
    <sheetView showGridLines="0" tabSelected="1" zoomScale="80" zoomScaleNormal="80" workbookViewId="0">
      <selection activeCell="D17" sqref="D1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5"/>
    <row r="2" spans="1:5" ht="15.6" x14ac:dyDescent="0.25">
      <c r="A2" s="99"/>
      <c r="B2" s="391" t="s">
        <v>310</v>
      </c>
      <c r="C2" s="1"/>
      <c r="D2" s="1"/>
    </row>
    <row r="3" spans="1:5" ht="17.45" x14ac:dyDescent="0.25">
      <c r="A3" s="99"/>
      <c r="B3" s="227" t="s">
        <v>259</v>
      </c>
      <c r="C3" s="1"/>
      <c r="D3" s="1"/>
    </row>
    <row r="4" spans="1:5" ht="17.45" x14ac:dyDescent="0.25">
      <c r="A4" s="99"/>
      <c r="B4" s="227" t="s">
        <v>276</v>
      </c>
      <c r="C4" s="1"/>
      <c r="D4" s="1"/>
    </row>
    <row r="5" spans="1:5" ht="17.45" x14ac:dyDescent="0.25">
      <c r="A5" s="99"/>
      <c r="B5" s="227" t="s">
        <v>241</v>
      </c>
      <c r="C5" s="1"/>
      <c r="D5" s="1"/>
      <c r="E5" s="165"/>
    </row>
    <row r="6" spans="1:5" x14ac:dyDescent="0.25">
      <c r="A6" s="99"/>
      <c r="B6" s="99"/>
      <c r="C6" s="99"/>
      <c r="D6" s="322"/>
    </row>
    <row r="7" spans="1:5" ht="34.5" customHeight="1" x14ac:dyDescent="0.25">
      <c r="A7" s="99"/>
      <c r="B7" s="130">
        <v>1</v>
      </c>
      <c r="C7" s="102" t="s">
        <v>2</v>
      </c>
      <c r="D7" s="243">
        <v>43479</v>
      </c>
    </row>
    <row r="8" spans="1:5" ht="34.5" customHeight="1" x14ac:dyDescent="0.25">
      <c r="A8" s="99"/>
      <c r="B8" s="130">
        <v>2</v>
      </c>
      <c r="C8" s="102" t="s">
        <v>1</v>
      </c>
      <c r="D8" s="365" t="s">
        <v>99</v>
      </c>
    </row>
    <row r="9" spans="1:5" ht="34.5" customHeight="1" x14ac:dyDescent="0.25">
      <c r="A9" s="99"/>
      <c r="B9" s="130">
        <v>3</v>
      </c>
      <c r="C9" s="103" t="s">
        <v>125</v>
      </c>
      <c r="D9" s="104">
        <f>IF(ISBLANK(D8),"",VLOOKUP(D8,Info_County_Code,2))</f>
        <v>57</v>
      </c>
    </row>
    <row r="10" spans="1:5" ht="34.5" customHeight="1" x14ac:dyDescent="0.25">
      <c r="A10" s="99"/>
      <c r="B10" s="130">
        <v>4</v>
      </c>
      <c r="C10" s="102" t="s">
        <v>126</v>
      </c>
      <c r="D10" s="418" t="s">
        <v>322</v>
      </c>
    </row>
    <row r="11" spans="1:5" ht="34.5" customHeight="1" x14ac:dyDescent="0.25">
      <c r="A11" s="99"/>
      <c r="B11" s="130">
        <v>5</v>
      </c>
      <c r="C11" s="102" t="s">
        <v>127</v>
      </c>
      <c r="D11" s="365" t="s">
        <v>323</v>
      </c>
    </row>
    <row r="12" spans="1:5" ht="34.5" customHeight="1" x14ac:dyDescent="0.25">
      <c r="A12" s="99"/>
      <c r="B12" s="130">
        <v>6</v>
      </c>
      <c r="C12" s="102" t="s">
        <v>128</v>
      </c>
      <c r="D12" s="244">
        <v>95776</v>
      </c>
    </row>
    <row r="13" spans="1:5" ht="34.5" customHeight="1" x14ac:dyDescent="0.25">
      <c r="A13" s="99"/>
      <c r="B13" s="130">
        <v>7</v>
      </c>
      <c r="C13" s="105" t="s">
        <v>185</v>
      </c>
      <c r="D13" s="106" t="str">
        <f>IF(ISBLANK(D8),"",VLOOKUP(D8,County_Population,5,FALSE))</f>
        <v>Yes</v>
      </c>
    </row>
    <row r="14" spans="1:5" ht="34.5" customHeight="1" x14ac:dyDescent="0.25">
      <c r="A14" s="99"/>
      <c r="B14" s="130">
        <v>8</v>
      </c>
      <c r="C14" s="102" t="s">
        <v>124</v>
      </c>
      <c r="D14" s="365" t="s">
        <v>324</v>
      </c>
    </row>
    <row r="15" spans="1:5" ht="34.5" customHeight="1" x14ac:dyDescent="0.25">
      <c r="A15" s="99"/>
      <c r="B15" s="130">
        <v>9</v>
      </c>
      <c r="C15" s="383" t="s">
        <v>193</v>
      </c>
      <c r="D15" s="419" t="s">
        <v>325</v>
      </c>
    </row>
    <row r="16" spans="1:5" ht="34.5" customHeight="1" x14ac:dyDescent="0.25">
      <c r="A16" s="99"/>
      <c r="B16" s="130">
        <v>10</v>
      </c>
      <c r="C16" s="383" t="s">
        <v>211</v>
      </c>
      <c r="D16" s="419" t="s">
        <v>326</v>
      </c>
    </row>
    <row r="17" spans="1:4" ht="34.5" customHeight="1" x14ac:dyDescent="0.25">
      <c r="A17" s="99"/>
      <c r="B17" s="130">
        <v>11</v>
      </c>
      <c r="C17" s="102" t="s">
        <v>194</v>
      </c>
      <c r="D17" s="420" t="s">
        <v>327</v>
      </c>
    </row>
    <row r="18" spans="1:4" x14ac:dyDescent="0.25"/>
    <row r="19" spans="1:4" x14ac:dyDescent="0.25"/>
    <row r="20" spans="1:4" x14ac:dyDescent="0.25"/>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5" right="0.5" top="0.5" bottom="0.5" header="0.3" footer="0.3"/>
  <pageSetup scale="88" fitToHeight="0" orientation="portrait"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60" zoomScaleNormal="60" zoomScaleSheetLayoutView="40" workbookViewId="0">
      <pane xSplit="3" ySplit="20" topLeftCell="D30" activePane="bottomRight" state="frozen"/>
      <selection pane="topRight" activeCell="D1" sqref="D1"/>
      <selection pane="bottomLeft" activeCell="A16" sqref="A16"/>
      <selection pane="bottomRight" activeCell="D30" sqref="D30"/>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Yolo</v>
      </c>
      <c r="F7" s="360" t="s">
        <v>2</v>
      </c>
      <c r="G7" s="259">
        <f>IF(ISBLANK('1. Information'!D7),"",'1. Information'!D7)</f>
        <v>43479</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233526.46</v>
      </c>
      <c r="E15" s="260"/>
      <c r="F15" s="260"/>
      <c r="G15" s="90"/>
      <c r="H15" s="260"/>
      <c r="I15" s="260"/>
      <c r="J15" s="260"/>
      <c r="K15" s="260"/>
      <c r="L15" s="260"/>
      <c r="M15" s="260"/>
      <c r="N15" s="260"/>
    </row>
    <row r="16" spans="2:14" x14ac:dyDescent="0.25">
      <c r="B16" s="24">
        <v>2</v>
      </c>
      <c r="C16" s="332" t="s">
        <v>306</v>
      </c>
      <c r="D16" s="394">
        <v>514069</v>
      </c>
      <c r="E16" s="260"/>
      <c r="F16" s="260"/>
      <c r="G16" s="90"/>
      <c r="H16" s="260"/>
      <c r="I16" s="260"/>
      <c r="J16" s="260"/>
      <c r="K16" s="260"/>
      <c r="L16" s="260"/>
      <c r="M16" s="260"/>
      <c r="N16" s="260"/>
    </row>
    <row r="17" spans="2:14" x14ac:dyDescent="0.25">
      <c r="B17" s="24">
        <v>3</v>
      </c>
      <c r="C17" s="332" t="s">
        <v>312</v>
      </c>
      <c r="D17" s="91">
        <f>D16+M22+M27+SUM('9. Adjustment (MHSA)'!F83:F112)</f>
        <v>514069</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177480.1096</v>
      </c>
      <c r="E23" s="380">
        <f>D15*0.19</f>
        <v>44370.027399999999</v>
      </c>
      <c r="F23" s="261">
        <f>D15*0.05</f>
        <v>11676.323</v>
      </c>
      <c r="G23" s="327"/>
      <c r="H23" s="327"/>
      <c r="I23" s="327"/>
      <c r="J23" s="334"/>
      <c r="K23" s="327"/>
      <c r="L23" s="327"/>
      <c r="M23" s="327"/>
      <c r="N23" s="333">
        <f>SUM(D23:M23)</f>
        <v>233526.46</v>
      </c>
    </row>
    <row r="24" spans="2:14" ht="24" customHeight="1" x14ac:dyDescent="0.25">
      <c r="B24" s="24">
        <v>6</v>
      </c>
      <c r="C24" s="266" t="s">
        <v>25</v>
      </c>
      <c r="D24" s="339">
        <f t="shared" ref="D24:L24" si="0">SUM(D22:D23)</f>
        <v>177480.1096</v>
      </c>
      <c r="E24" s="339">
        <f t="shared" si="0"/>
        <v>44370.027399999999</v>
      </c>
      <c r="F24" s="339">
        <f t="shared" si="0"/>
        <v>11676.323</v>
      </c>
      <c r="G24" s="339">
        <f t="shared" si="0"/>
        <v>0</v>
      </c>
      <c r="H24" s="339">
        <f t="shared" si="0"/>
        <v>0</v>
      </c>
      <c r="I24" s="339">
        <f t="shared" si="0"/>
        <v>0</v>
      </c>
      <c r="J24" s="339">
        <f t="shared" si="0"/>
        <v>0</v>
      </c>
      <c r="K24" s="339">
        <f t="shared" si="0"/>
        <v>0</v>
      </c>
      <c r="L24" s="339">
        <f t="shared" si="0"/>
        <v>0</v>
      </c>
      <c r="M24" s="339">
        <v>0</v>
      </c>
      <c r="N24" s="371">
        <f>SUM(D24:M24)</f>
        <v>233526.46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-252489.18</v>
      </c>
      <c r="E27" s="334"/>
      <c r="F27" s="334"/>
      <c r="G27" s="264">
        <f>'3. CSS'!F20</f>
        <v>252489.18</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5769819.709999999</v>
      </c>
      <c r="E30" s="264">
        <f>'4. PEI'!F21</f>
        <v>1805474.46</v>
      </c>
      <c r="F30" s="264">
        <f>'5. INN'!F22</f>
        <v>87547.63</v>
      </c>
      <c r="G30" s="264">
        <f>'6. WET'!F20</f>
        <v>471768.45999999996</v>
      </c>
      <c r="H30" s="264">
        <f>'7. CFTN'!F21</f>
        <v>290469.82</v>
      </c>
      <c r="I30" s="334"/>
      <c r="J30" s="264">
        <f>'8. WET RP, HP'!E14</f>
        <v>0</v>
      </c>
      <c r="K30" s="264">
        <f>'4. PEI'!F17</f>
        <v>29840</v>
      </c>
      <c r="L30" s="264">
        <f>'8. WET RP, HP'!E15</f>
        <v>0</v>
      </c>
      <c r="M30" s="334"/>
      <c r="N30" s="264">
        <f t="shared" ref="N30:N35" si="1">SUM(D30:M30)</f>
        <v>8454920.0799999982</v>
      </c>
    </row>
    <row r="31" spans="2:14" ht="24" customHeight="1" x14ac:dyDescent="0.25">
      <c r="B31" s="24">
        <v>9</v>
      </c>
      <c r="C31" s="262" t="s">
        <v>5</v>
      </c>
      <c r="D31" s="261">
        <f>'3. CSS'!G25</f>
        <v>3070009.93</v>
      </c>
      <c r="E31" s="261">
        <f>'4. PEI'!G21</f>
        <v>0</v>
      </c>
      <c r="F31" s="261">
        <f>'5. INN'!G22</f>
        <v>15905.61</v>
      </c>
      <c r="G31" s="261">
        <f>'6. WET'!G20</f>
        <v>0</v>
      </c>
      <c r="H31" s="261">
        <f>'7. CFTN'!G21</f>
        <v>0</v>
      </c>
      <c r="I31" s="7"/>
      <c r="J31" s="261">
        <f>'8. WET RP, HP'!F14</f>
        <v>0</v>
      </c>
      <c r="K31" s="261">
        <f>'4. PEI'!G17</f>
        <v>0</v>
      </c>
      <c r="L31" s="261">
        <f>'8. WET RP, HP'!F15</f>
        <v>0</v>
      </c>
      <c r="M31" s="327"/>
      <c r="N31" s="264">
        <f t="shared" si="1"/>
        <v>3085915.54</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855000</v>
      </c>
      <c r="E34" s="261">
        <f>'4. PEI'!J21</f>
        <v>9774.4500000000007</v>
      </c>
      <c r="F34" s="261">
        <f>'5. INN'!J22</f>
        <v>0</v>
      </c>
      <c r="G34" s="261">
        <f>'6. WET'!J20</f>
        <v>0</v>
      </c>
      <c r="H34" s="261">
        <f>'7. CFTN'!J21</f>
        <v>0</v>
      </c>
      <c r="I34" s="7"/>
      <c r="J34" s="261">
        <f>'8. WET RP, HP'!I14</f>
        <v>0</v>
      </c>
      <c r="K34" s="261">
        <f>'4. PEI'!J17</f>
        <v>0</v>
      </c>
      <c r="L34" s="261">
        <f>'8. WET RP, HP'!I15</f>
        <v>0</v>
      </c>
      <c r="M34" s="327"/>
      <c r="N34" s="264">
        <f t="shared" si="1"/>
        <v>864774.45</v>
      </c>
    </row>
    <row r="35" spans="2:14" ht="24" customHeight="1" x14ac:dyDescent="0.25">
      <c r="B35" s="24">
        <v>13</v>
      </c>
      <c r="C35" s="266" t="s">
        <v>25</v>
      </c>
      <c r="D35" s="267">
        <f>SUM(D30:D34)</f>
        <v>9694829.6399999987</v>
      </c>
      <c r="E35" s="267">
        <f t="shared" ref="E35:L35" si="2">SUM(E30:E34)</f>
        <v>1815248.91</v>
      </c>
      <c r="F35" s="267">
        <f t="shared" si="2"/>
        <v>103453.24</v>
      </c>
      <c r="G35" s="267">
        <f t="shared" si="2"/>
        <v>471768.45999999996</v>
      </c>
      <c r="H35" s="267">
        <f t="shared" si="2"/>
        <v>290469.82</v>
      </c>
      <c r="I35" s="267">
        <f t="shared" si="2"/>
        <v>0</v>
      </c>
      <c r="J35" s="267">
        <f t="shared" si="2"/>
        <v>0</v>
      </c>
      <c r="K35" s="267">
        <f t="shared" si="2"/>
        <v>29840</v>
      </c>
      <c r="L35" s="267">
        <f t="shared" si="2"/>
        <v>0</v>
      </c>
      <c r="M35" s="7"/>
      <c r="N35" s="339">
        <f t="shared" si="1"/>
        <v>12405610.07</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89306.34</v>
      </c>
      <c r="F39" s="90"/>
      <c r="G39" s="260"/>
      <c r="H39" s="260"/>
      <c r="I39" s="260"/>
      <c r="J39" s="260"/>
      <c r="K39" s="260"/>
      <c r="L39" s="260"/>
      <c r="M39" s="260"/>
      <c r="N39" s="347"/>
    </row>
    <row r="40" spans="2:14" x14ac:dyDescent="0.25">
      <c r="B40" s="24">
        <v>15</v>
      </c>
      <c r="C40" s="358" t="s">
        <v>23</v>
      </c>
      <c r="D40" s="366">
        <f>'3. CSS'!K15+'4. PEI'!K15+'5. INN'!K19+'6. WET'!K15+'7. CFTN'!K16+'7. CFTN'!K17</f>
        <v>30471.440000000002</v>
      </c>
      <c r="E40" s="263"/>
      <c r="F40" s="260"/>
      <c r="G40" s="260"/>
      <c r="H40" s="260"/>
      <c r="I40" s="260"/>
      <c r="J40" s="260"/>
      <c r="K40" s="260"/>
      <c r="L40" s="260"/>
      <c r="M40" s="260"/>
      <c r="N40" s="347"/>
    </row>
    <row r="41" spans="2:14" x14ac:dyDescent="0.25">
      <c r="B41" s="24">
        <v>16</v>
      </c>
      <c r="C41" s="358" t="s">
        <v>24</v>
      </c>
      <c r="D41" s="366">
        <f>'3. CSS'!K16+'4. PEI'!K16+'5. INN'!K15+'5. INN'!K18+'6. WET'!K16+'7. CFTN'!K18+'7. CFTN'!K19</f>
        <v>654941.54999999993</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10" zoomScale="67" zoomScaleNormal="67" zoomScaleSheetLayoutView="40" zoomScalePageLayoutView="70" workbookViewId="0">
      <selection activeCell="F24" sqref="F24"/>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4"/>
      <c r="C1" s="444"/>
      <c r="D1" s="444"/>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5" t="s">
        <v>1</v>
      </c>
      <c r="C7" s="445"/>
      <c r="D7" s="9" t="str">
        <f>IF(ISBLANK('1. Information'!D8),"",'1. Information'!D8)</f>
        <v>Yolo</v>
      </c>
      <c r="E7" s="281"/>
      <c r="F7" s="279" t="s">
        <v>2</v>
      </c>
      <c r="G7" s="282">
        <f>IF(ISBLANK('1. Information'!D7),"",'1. Information'!D7)</f>
        <v>43479</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7" t="s">
        <v>30</v>
      </c>
      <c r="H12" s="435"/>
      <c r="I12" s="435"/>
      <c r="J12" s="438"/>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2" t="s">
        <v>7</v>
      </c>
      <c r="D14" s="442"/>
      <c r="E14" s="442"/>
      <c r="F14" s="367">
        <v>67872.820000000007</v>
      </c>
      <c r="G14" s="368"/>
      <c r="H14" s="353"/>
      <c r="I14" s="290"/>
      <c r="J14" s="290"/>
      <c r="K14" s="292">
        <f>SUM(F14:J14)</f>
        <v>67872.820000000007</v>
      </c>
      <c r="L14"/>
    </row>
    <row r="15" spans="1:12" ht="15" customHeight="1" x14ac:dyDescent="0.25">
      <c r="A15" s="281"/>
      <c r="B15" s="277">
        <v>2</v>
      </c>
      <c r="C15" s="442" t="s">
        <v>8</v>
      </c>
      <c r="D15" s="442"/>
      <c r="E15" s="442"/>
      <c r="F15" s="367">
        <v>26620.73</v>
      </c>
      <c r="G15" s="290"/>
      <c r="H15" s="290"/>
      <c r="I15" s="290"/>
      <c r="J15" s="290"/>
      <c r="K15" s="292">
        <f t="shared" ref="K15:K23" si="0">SUM(F15:J15)</f>
        <v>26620.73</v>
      </c>
      <c r="L15"/>
    </row>
    <row r="16" spans="1:12" x14ac:dyDescent="0.25">
      <c r="A16" s="281"/>
      <c r="B16" s="277">
        <v>3</v>
      </c>
      <c r="C16" s="442" t="s">
        <v>129</v>
      </c>
      <c r="D16" s="442"/>
      <c r="E16" s="442"/>
      <c r="F16" s="367">
        <v>571801.86</v>
      </c>
      <c r="G16" s="290"/>
      <c r="H16" s="290"/>
      <c r="I16" s="290"/>
      <c r="J16" s="290"/>
      <c r="K16" s="292">
        <f t="shared" si="0"/>
        <v>571801.86</v>
      </c>
      <c r="L16"/>
    </row>
    <row r="17" spans="1:12" x14ac:dyDescent="0.25">
      <c r="A17" s="281"/>
      <c r="B17" s="277">
        <v>4</v>
      </c>
      <c r="C17" s="443" t="s">
        <v>218</v>
      </c>
      <c r="D17" s="443"/>
      <c r="E17" s="443"/>
      <c r="F17" s="367"/>
      <c r="G17" s="290"/>
      <c r="H17" s="290"/>
      <c r="I17" s="290"/>
      <c r="J17" s="290"/>
      <c r="K17" s="292">
        <f t="shared" si="0"/>
        <v>0</v>
      </c>
      <c r="L17"/>
    </row>
    <row r="18" spans="1:12" x14ac:dyDescent="0.25">
      <c r="A18" s="281"/>
      <c r="B18" s="277">
        <v>5</v>
      </c>
      <c r="C18" s="443" t="s">
        <v>219</v>
      </c>
      <c r="D18" s="443"/>
      <c r="E18" s="443"/>
      <c r="F18" s="367"/>
      <c r="G18" s="294"/>
      <c r="H18" s="294"/>
      <c r="I18" s="294"/>
      <c r="J18" s="294"/>
      <c r="K18" s="292">
        <f t="shared" si="0"/>
        <v>0</v>
      </c>
      <c r="L18"/>
    </row>
    <row r="19" spans="1:12" x14ac:dyDescent="0.25">
      <c r="A19" s="281"/>
      <c r="B19" s="277">
        <v>6</v>
      </c>
      <c r="C19" s="442" t="s">
        <v>216</v>
      </c>
      <c r="D19" s="442"/>
      <c r="E19" s="442"/>
      <c r="F19" s="290"/>
      <c r="G19" s="294"/>
      <c r="H19" s="294"/>
      <c r="I19" s="294"/>
      <c r="J19" s="294"/>
      <c r="K19" s="293">
        <f t="shared" si="0"/>
        <v>0</v>
      </c>
      <c r="L19"/>
    </row>
    <row r="20" spans="1:12" x14ac:dyDescent="0.25">
      <c r="A20" s="283"/>
      <c r="B20" s="256">
        <v>7</v>
      </c>
      <c r="C20" s="439" t="s">
        <v>226</v>
      </c>
      <c r="D20" s="440"/>
      <c r="E20" s="441"/>
      <c r="F20" s="290">
        <v>252489.18</v>
      </c>
      <c r="G20" s="293"/>
      <c r="H20" s="293"/>
      <c r="I20" s="293"/>
      <c r="J20" s="293"/>
      <c r="K20" s="293">
        <f t="shared" si="0"/>
        <v>252489.18</v>
      </c>
      <c r="L20"/>
    </row>
    <row r="21" spans="1:12" x14ac:dyDescent="0.25">
      <c r="A21" s="283"/>
      <c r="B21" s="256">
        <v>8</v>
      </c>
      <c r="C21" s="439" t="s">
        <v>227</v>
      </c>
      <c r="D21" s="440"/>
      <c r="E21" s="441"/>
      <c r="F21" s="290"/>
      <c r="G21" s="293"/>
      <c r="H21" s="293"/>
      <c r="I21" s="293"/>
      <c r="J21" s="293"/>
      <c r="K21" s="293">
        <f t="shared" si="0"/>
        <v>0</v>
      </c>
      <c r="L21"/>
    </row>
    <row r="22" spans="1:12" x14ac:dyDescent="0.25">
      <c r="A22" s="283"/>
      <c r="B22" s="256">
        <v>9</v>
      </c>
      <c r="C22" s="439" t="s">
        <v>225</v>
      </c>
      <c r="D22" s="440"/>
      <c r="E22" s="441"/>
      <c r="F22" s="290"/>
      <c r="G22" s="293"/>
      <c r="H22" s="293"/>
      <c r="I22" s="293"/>
      <c r="J22" s="293"/>
      <c r="K22" s="293">
        <f t="shared" si="0"/>
        <v>0</v>
      </c>
      <c r="L22"/>
    </row>
    <row r="23" spans="1:12" x14ac:dyDescent="0.25">
      <c r="A23" s="281"/>
      <c r="B23" s="277">
        <v>10</v>
      </c>
      <c r="C23" s="442" t="s">
        <v>140</v>
      </c>
      <c r="D23" s="442"/>
      <c r="E23" s="442"/>
      <c r="F23" s="294">
        <f>SUM(G33:G132)</f>
        <v>5103524.2999999989</v>
      </c>
      <c r="G23" s="293">
        <f>SUM(H33:H132)</f>
        <v>3070009.93</v>
      </c>
      <c r="H23" s="293">
        <f>SUM(I33:I132)</f>
        <v>0</v>
      </c>
      <c r="I23" s="293">
        <f>SUM(J33:J132)</f>
        <v>0</v>
      </c>
      <c r="J23" s="293">
        <f>SUM(K33:K132)</f>
        <v>855000</v>
      </c>
      <c r="K23" s="293">
        <f t="shared" si="0"/>
        <v>9028534.2299999986</v>
      </c>
      <c r="L23"/>
    </row>
    <row r="24" spans="1:12" ht="30.95" customHeight="1" x14ac:dyDescent="0.25">
      <c r="A24" s="281"/>
      <c r="B24" s="277">
        <v>11</v>
      </c>
      <c r="C24" s="429" t="s">
        <v>223</v>
      </c>
      <c r="D24" s="430"/>
      <c r="E24" s="431"/>
      <c r="F24" s="7">
        <f>SUM(F14:F16,F18:F23)</f>
        <v>6022308.8899999987</v>
      </c>
      <c r="G24" s="7">
        <f>SUM(G14:G16,G18:G23)</f>
        <v>3070009.93</v>
      </c>
      <c r="H24" s="43">
        <f t="shared" ref="H24:J24" si="1">SUM(H14:H16,H18:H23)</f>
        <v>0</v>
      </c>
      <c r="I24" s="7">
        <f t="shared" si="1"/>
        <v>0</v>
      </c>
      <c r="J24" s="7">
        <f t="shared" si="1"/>
        <v>855000</v>
      </c>
      <c r="K24" s="7">
        <f>SUM(K14:K16,K18:K23)</f>
        <v>9947318.8199999984</v>
      </c>
      <c r="L24"/>
    </row>
    <row r="25" spans="1:12" s="325" customFormat="1" ht="30.95" customHeight="1" x14ac:dyDescent="0.25">
      <c r="A25" s="281"/>
      <c r="B25" s="277">
        <v>12</v>
      </c>
      <c r="C25" s="436" t="s">
        <v>283</v>
      </c>
      <c r="D25" s="436"/>
      <c r="E25" s="436"/>
      <c r="F25" s="7">
        <f>SUM(F14:F16,F18,F23)</f>
        <v>5769819.709999999</v>
      </c>
      <c r="G25" s="299">
        <f t="shared" ref="G25:J25" si="2">SUM(G14:G16,G18,G23)</f>
        <v>3070009.93</v>
      </c>
      <c r="H25" s="299">
        <f t="shared" si="2"/>
        <v>0</v>
      </c>
      <c r="I25" s="299">
        <f t="shared" si="2"/>
        <v>0</v>
      </c>
      <c r="J25" s="7">
        <f t="shared" si="2"/>
        <v>855000</v>
      </c>
      <c r="K25" s="7">
        <f>SUM(K14:K16,K18,K23)</f>
        <v>9694829.6399999987</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5" t="s">
        <v>166</v>
      </c>
      <c r="E31" s="435"/>
      <c r="F31" s="435"/>
      <c r="G31" s="344" t="s">
        <v>28</v>
      </c>
      <c r="H31" s="432" t="s">
        <v>30</v>
      </c>
      <c r="I31" s="433"/>
      <c r="J31" s="433"/>
      <c r="K31" s="434"/>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57</v>
      </c>
      <c r="D33" s="395" t="s">
        <v>328</v>
      </c>
      <c r="E33" s="395"/>
      <c r="F33" s="297" t="s">
        <v>102</v>
      </c>
      <c r="G33" s="291">
        <v>111091.4</v>
      </c>
      <c r="H33" s="291">
        <v>143751.72</v>
      </c>
      <c r="I33" s="291"/>
      <c r="J33" s="318"/>
      <c r="K33" s="291">
        <v>37076.35</v>
      </c>
      <c r="L33" s="293">
        <f>SUM(G33:K33)</f>
        <v>291919.46999999997</v>
      </c>
    </row>
    <row r="34" spans="1:12" s="359" customFormat="1" x14ac:dyDescent="0.25">
      <c r="A34" s="281"/>
      <c r="B34" s="295">
        <v>2</v>
      </c>
      <c r="C34" s="296">
        <f t="shared" si="3"/>
        <v>57</v>
      </c>
      <c r="D34" s="395" t="s">
        <v>329</v>
      </c>
      <c r="E34" s="395"/>
      <c r="F34" s="297" t="s">
        <v>102</v>
      </c>
      <c r="G34" s="291">
        <v>191004.82</v>
      </c>
      <c r="H34" s="291">
        <v>207627.35</v>
      </c>
      <c r="I34" s="291"/>
      <c r="J34" s="318"/>
      <c r="K34" s="291">
        <v>57991.22</v>
      </c>
      <c r="L34" s="293">
        <f t="shared" ref="L34:L97" si="4">SUM(G34:K34)</f>
        <v>456623.39</v>
      </c>
    </row>
    <row r="35" spans="1:12" s="359" customFormat="1" x14ac:dyDescent="0.25">
      <c r="A35" s="281"/>
      <c r="B35" s="295">
        <v>3</v>
      </c>
      <c r="C35" s="296">
        <f t="shared" si="3"/>
        <v>57</v>
      </c>
      <c r="D35" s="395" t="s">
        <v>330</v>
      </c>
      <c r="E35" s="395"/>
      <c r="F35" s="297" t="s">
        <v>102</v>
      </c>
      <c r="G35" s="291">
        <v>1723630.07</v>
      </c>
      <c r="H35" s="291">
        <v>1091171.53</v>
      </c>
      <c r="I35" s="291"/>
      <c r="J35" s="318"/>
      <c r="K35" s="291"/>
      <c r="L35" s="293">
        <f t="shared" si="4"/>
        <v>2814801.6</v>
      </c>
    </row>
    <row r="36" spans="1:12" s="359" customFormat="1" x14ac:dyDescent="0.25">
      <c r="A36" s="281"/>
      <c r="B36" s="295">
        <v>4</v>
      </c>
      <c r="C36" s="296">
        <f t="shared" si="3"/>
        <v>57</v>
      </c>
      <c r="D36" s="395" t="s">
        <v>331</v>
      </c>
      <c r="E36" s="395"/>
      <c r="F36" s="297" t="s">
        <v>102</v>
      </c>
      <c r="G36" s="291">
        <v>310064.78000000003</v>
      </c>
      <c r="H36" s="291">
        <v>155712.98000000001</v>
      </c>
      <c r="I36" s="291"/>
      <c r="J36" s="318"/>
      <c r="K36" s="291"/>
      <c r="L36" s="293">
        <f t="shared" si="4"/>
        <v>465777.76</v>
      </c>
    </row>
    <row r="37" spans="1:12" s="359" customFormat="1" x14ac:dyDescent="0.25">
      <c r="A37" s="281"/>
      <c r="B37" s="295">
        <v>5</v>
      </c>
      <c r="C37" s="296">
        <f t="shared" si="3"/>
        <v>57</v>
      </c>
      <c r="D37" s="395" t="s">
        <v>332</v>
      </c>
      <c r="E37" s="395"/>
      <c r="F37" s="297" t="s">
        <v>102</v>
      </c>
      <c r="G37" s="291">
        <v>24097.17</v>
      </c>
      <c r="H37" s="291"/>
      <c r="I37" s="291"/>
      <c r="J37" s="318"/>
      <c r="K37" s="291"/>
      <c r="L37" s="293">
        <f t="shared" si="4"/>
        <v>24097.17</v>
      </c>
    </row>
    <row r="38" spans="1:12" s="359" customFormat="1" x14ac:dyDescent="0.25">
      <c r="A38" s="281"/>
      <c r="B38" s="295">
        <v>6</v>
      </c>
      <c r="C38" s="296">
        <f t="shared" si="3"/>
        <v>57</v>
      </c>
      <c r="D38" s="395" t="s">
        <v>333</v>
      </c>
      <c r="E38" s="395"/>
      <c r="F38" s="297" t="s">
        <v>102</v>
      </c>
      <c r="G38" s="291">
        <v>6788.61</v>
      </c>
      <c r="H38" s="291"/>
      <c r="I38" s="291"/>
      <c r="J38" s="318"/>
      <c r="K38" s="291"/>
      <c r="L38" s="293">
        <f t="shared" si="4"/>
        <v>6788.61</v>
      </c>
    </row>
    <row r="39" spans="1:12" s="359" customFormat="1" x14ac:dyDescent="0.25">
      <c r="A39" s="281"/>
      <c r="B39" s="295">
        <v>7</v>
      </c>
      <c r="C39" s="296">
        <f t="shared" si="3"/>
        <v>57</v>
      </c>
      <c r="D39" s="395" t="s">
        <v>328</v>
      </c>
      <c r="E39" s="395"/>
      <c r="F39" s="297" t="s">
        <v>103</v>
      </c>
      <c r="G39" s="291">
        <v>398808.77</v>
      </c>
      <c r="H39" s="291">
        <v>685322.32</v>
      </c>
      <c r="I39" s="291"/>
      <c r="J39" s="318"/>
      <c r="K39" s="291">
        <v>417962.84</v>
      </c>
      <c r="L39" s="293">
        <f t="shared" si="4"/>
        <v>1502093.93</v>
      </c>
    </row>
    <row r="40" spans="1:12" s="359" customFormat="1" x14ac:dyDescent="0.25">
      <c r="A40" s="281"/>
      <c r="B40" s="295">
        <v>8</v>
      </c>
      <c r="C40" s="296">
        <f t="shared" si="3"/>
        <v>57</v>
      </c>
      <c r="D40" s="395" t="s">
        <v>329</v>
      </c>
      <c r="E40" s="395"/>
      <c r="F40" s="297" t="s">
        <v>103</v>
      </c>
      <c r="G40" s="291">
        <v>450048.76</v>
      </c>
      <c r="H40" s="291">
        <v>424770.71</v>
      </c>
      <c r="I40" s="291"/>
      <c r="J40" s="318"/>
      <c r="K40" s="291">
        <v>341969.59</v>
      </c>
      <c r="L40" s="293">
        <f t="shared" si="4"/>
        <v>1216789.06</v>
      </c>
    </row>
    <row r="41" spans="1:12" s="359" customFormat="1" x14ac:dyDescent="0.25">
      <c r="A41" s="281"/>
      <c r="B41" s="295">
        <v>9</v>
      </c>
      <c r="C41" s="296">
        <f t="shared" si="3"/>
        <v>57</v>
      </c>
      <c r="D41" s="395" t="s">
        <v>330</v>
      </c>
      <c r="E41" s="395"/>
      <c r="F41" s="297" t="s">
        <v>103</v>
      </c>
      <c r="G41" s="291">
        <v>1490512.59</v>
      </c>
      <c r="H41" s="291">
        <v>318060.84999999998</v>
      </c>
      <c r="I41" s="291"/>
      <c r="J41" s="318"/>
      <c r="K41" s="291"/>
      <c r="L41" s="293">
        <f t="shared" si="4"/>
        <v>1808573.4399999999</v>
      </c>
    </row>
    <row r="42" spans="1:12" s="359" customFormat="1" x14ac:dyDescent="0.25">
      <c r="A42" s="281"/>
      <c r="B42" s="295">
        <v>10</v>
      </c>
      <c r="C42" s="296">
        <f t="shared" si="3"/>
        <v>57</v>
      </c>
      <c r="D42" s="395" t="s">
        <v>331</v>
      </c>
      <c r="E42" s="395"/>
      <c r="F42" s="297" t="s">
        <v>103</v>
      </c>
      <c r="G42" s="291">
        <v>43474.53</v>
      </c>
      <c r="H42" s="291">
        <v>43592.47</v>
      </c>
      <c r="I42" s="291"/>
      <c r="J42" s="318"/>
      <c r="K42" s="291"/>
      <c r="L42" s="293">
        <f t="shared" si="4"/>
        <v>87067</v>
      </c>
    </row>
    <row r="43" spans="1:12" s="359" customFormat="1" x14ac:dyDescent="0.25">
      <c r="A43" s="281"/>
      <c r="B43" s="295">
        <v>11</v>
      </c>
      <c r="C43" s="296">
        <f t="shared" si="3"/>
        <v>57</v>
      </c>
      <c r="D43" s="395" t="s">
        <v>334</v>
      </c>
      <c r="E43" s="395"/>
      <c r="F43" s="297" t="s">
        <v>103</v>
      </c>
      <c r="G43" s="291">
        <v>82461.100000000006</v>
      </c>
      <c r="H43" s="291"/>
      <c r="I43" s="291"/>
      <c r="J43" s="318"/>
      <c r="K43" s="291"/>
      <c r="L43" s="293">
        <f t="shared" si="4"/>
        <v>82461.100000000006</v>
      </c>
    </row>
    <row r="44" spans="1:12" s="359" customFormat="1" x14ac:dyDescent="0.25">
      <c r="A44" s="281"/>
      <c r="B44" s="295">
        <v>12</v>
      </c>
      <c r="C44" s="296">
        <f t="shared" si="3"/>
        <v>57</v>
      </c>
      <c r="D44" s="395" t="s">
        <v>332</v>
      </c>
      <c r="E44" s="395"/>
      <c r="F44" s="297" t="s">
        <v>103</v>
      </c>
      <c r="G44" s="291">
        <v>207858.43</v>
      </c>
      <c r="H44" s="291"/>
      <c r="I44" s="291"/>
      <c r="J44" s="318"/>
      <c r="K44" s="291"/>
      <c r="L44" s="293">
        <f t="shared" si="4"/>
        <v>207858.43</v>
      </c>
    </row>
    <row r="45" spans="1:12" s="359" customFormat="1" x14ac:dyDescent="0.25">
      <c r="A45" s="281"/>
      <c r="B45" s="295">
        <v>13</v>
      </c>
      <c r="C45" s="296">
        <f t="shared" si="3"/>
        <v>57</v>
      </c>
      <c r="D45" s="395" t="s">
        <v>335</v>
      </c>
      <c r="E45" s="395"/>
      <c r="F45" s="297" t="s">
        <v>103</v>
      </c>
      <c r="G45" s="291">
        <v>63683.27</v>
      </c>
      <c r="H45" s="291"/>
      <c r="I45" s="291"/>
      <c r="J45" s="318"/>
      <c r="K45" s="291"/>
      <c r="L45" s="293">
        <f t="shared" si="4"/>
        <v>63683.27</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7" orientation="landscape" r:id="rId1"/>
  <headerFooter>
    <oddFooter>&amp;C&amp;"Arial,Regular"&amp;16Page &amp;P of &amp;N</oddFooter>
  </headerFooter>
  <rowBreaks count="2" manualBreakCount="2">
    <brk id="27"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A22" zoomScale="55" zoomScaleNormal="55" zoomScaleSheetLayoutView="40" zoomScalePageLayoutView="80" workbookViewId="0">
      <selection activeCell="D39" sqref="D39"/>
    </sheetView>
  </sheetViews>
  <sheetFormatPr defaultColWidth="0" defaultRowHeight="15.75" zeroHeight="1" x14ac:dyDescent="0.25"/>
  <cols>
    <col min="1" max="1" width="2.7109375" style="108" customWidth="1"/>
    <col min="2" max="2" width="6.7109375" style="108" customWidth="1"/>
    <col min="3" max="3" width="15.28515625" style="135" customWidth="1"/>
    <col min="4" max="4" width="53.28515625" style="108" customWidth="1"/>
    <col min="5"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7" t="s">
        <v>1</v>
      </c>
      <c r="C7" s="438"/>
      <c r="D7" s="9" t="str">
        <f>IF(ISBLANK('1. Information'!D8),"",'1. Information'!D8)</f>
        <v>Yolo</v>
      </c>
      <c r="F7" s="94" t="s">
        <v>2</v>
      </c>
      <c r="G7" s="109">
        <f>IF(ISBLANK('1. Information'!D7),"",'1. Information'!D7)</f>
        <v>43479</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7" t="s">
        <v>30</v>
      </c>
      <c r="H12" s="435"/>
      <c r="I12" s="435"/>
      <c r="J12" s="438"/>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3" t="s">
        <v>3</v>
      </c>
      <c r="D14" s="443"/>
      <c r="E14" s="439"/>
      <c r="F14" s="291">
        <v>16968.2</v>
      </c>
      <c r="G14" s="353"/>
      <c r="H14" s="353"/>
      <c r="I14" s="353"/>
      <c r="J14" s="353"/>
      <c r="K14" s="292">
        <f>SUM(F14:J14)</f>
        <v>16968.2</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3" t="s">
        <v>133</v>
      </c>
      <c r="D15" s="443"/>
      <c r="E15" s="439"/>
      <c r="F15" s="291">
        <v>1463.4</v>
      </c>
      <c r="G15" s="353"/>
      <c r="H15" s="353"/>
      <c r="I15" s="353"/>
      <c r="J15" s="353"/>
      <c r="K15" s="292">
        <f t="shared" ref="K15:K20" si="0">SUM(F15:J15)</f>
        <v>1463.4</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v>31899.85</v>
      </c>
      <c r="G16" s="387"/>
      <c r="H16" s="387"/>
      <c r="I16" s="387"/>
      <c r="J16" s="387"/>
      <c r="K16" s="292">
        <f t="shared" si="0"/>
        <v>31899.85</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3" t="s">
        <v>228</v>
      </c>
      <c r="D17" s="443"/>
      <c r="E17" s="439"/>
      <c r="F17" s="291">
        <v>29840</v>
      </c>
      <c r="G17" s="387"/>
      <c r="H17" s="387"/>
      <c r="I17" s="387"/>
      <c r="J17" s="387"/>
      <c r="K17" s="292">
        <f t="shared" si="0"/>
        <v>29840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3" t="s">
        <v>215</v>
      </c>
      <c r="D18" s="443"/>
      <c r="E18" s="439"/>
      <c r="F18" s="389">
        <v>25000</v>
      </c>
      <c r="G18" s="403"/>
      <c r="H18" s="403"/>
      <c r="I18" s="403"/>
      <c r="J18" s="403"/>
      <c r="K18" s="292">
        <f>SUM(F18:J18)</f>
        <v>25000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3" t="s">
        <v>217</v>
      </c>
      <c r="D19" s="443"/>
      <c r="E19" s="439"/>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2" t="s">
        <v>150</v>
      </c>
      <c r="D20" s="442"/>
      <c r="E20" s="442"/>
      <c r="F20" s="315">
        <f>SUMIF($G$36:$G$135,"Combined Summary",L$36:L$135) + SUMIF($F$36:$F$135,"Standalone",L$36:L$135)</f>
        <v>1755143.01</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9774.4500000000007</v>
      </c>
      <c r="K20" s="293">
        <f t="shared" si="0"/>
        <v>1764917.46</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SUM(F14:F16,F19:F20)</f>
        <v>1805474.46</v>
      </c>
      <c r="G21" s="8">
        <f t="shared" ref="G21:K21" si="1">SUM(G14:G16,G19:G20)</f>
        <v>0</v>
      </c>
      <c r="H21" s="8">
        <f t="shared" si="1"/>
        <v>0</v>
      </c>
      <c r="I21" s="8">
        <f t="shared" si="1"/>
        <v>0</v>
      </c>
      <c r="J21" s="8">
        <f t="shared" si="1"/>
        <v>9774.4500000000007</v>
      </c>
      <c r="K21" s="8">
        <f t="shared" si="1"/>
        <v>1815248.91</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0.56316090962593846</v>
      </c>
      <c r="G29" s="79">
        <v>0</v>
      </c>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5" t="s">
        <v>165</v>
      </c>
      <c r="E34" s="435"/>
      <c r="F34" s="435"/>
      <c r="G34" s="435"/>
      <c r="H34" s="435"/>
      <c r="I34" s="435"/>
      <c r="J34" s="435"/>
      <c r="K34" s="435"/>
      <c r="L34" s="340" t="s">
        <v>28</v>
      </c>
      <c r="M34" s="437" t="s">
        <v>30</v>
      </c>
      <c r="N34" s="435"/>
      <c r="O34" s="435"/>
      <c r="P34" s="438"/>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57</v>
      </c>
      <c r="D36" s="395" t="s">
        <v>336</v>
      </c>
      <c r="E36" s="395"/>
      <c r="F36" s="416" t="s">
        <v>143</v>
      </c>
      <c r="G36" s="417" t="s">
        <v>132</v>
      </c>
      <c r="H36" s="125"/>
      <c r="I36" s="134">
        <v>1</v>
      </c>
      <c r="J36" s="134">
        <v>1</v>
      </c>
      <c r="K36" s="350">
        <f>IF(OR(G36="Combined Summary",F36="Standalone"),(SUMPRODUCT(--(D$36:D$135=D36),I$36:I$135,J$36:J$135)),"")</f>
        <v>1</v>
      </c>
      <c r="L36" s="291">
        <v>196285.61</v>
      </c>
      <c r="M36" s="352"/>
      <c r="N36" s="116"/>
      <c r="O36" s="116"/>
      <c r="P36" s="116"/>
      <c r="Q36" s="351">
        <f>SUM(L36:P36)</f>
        <v>196285.61</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57</v>
      </c>
      <c r="D37" s="395" t="s">
        <v>337</v>
      </c>
      <c r="E37" s="395"/>
      <c r="F37" s="416" t="s">
        <v>143</v>
      </c>
      <c r="G37" s="417" t="s">
        <v>132</v>
      </c>
      <c r="H37" s="125"/>
      <c r="I37" s="134">
        <v>1</v>
      </c>
      <c r="J37" s="134">
        <v>1</v>
      </c>
      <c r="K37" s="350">
        <f t="shared" ref="K37:K100" si="3">IF(OR(G37="Combined Summary",F37="Standalone"),(SUMPRODUCT(--(D$36:D$135=D37),I$36:I$135,J$36:J$135)),"")</f>
        <v>1</v>
      </c>
      <c r="L37" s="291">
        <v>247771.76</v>
      </c>
      <c r="M37" s="352"/>
      <c r="N37" s="116"/>
      <c r="O37" s="116"/>
      <c r="P37" s="116"/>
      <c r="Q37" s="351">
        <f t="shared" ref="Q37:Q100" si="4">SUM(L37:P37)</f>
        <v>247771.76</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57</v>
      </c>
      <c r="D38" s="395" t="s">
        <v>338</v>
      </c>
      <c r="E38" s="395"/>
      <c r="F38" s="416" t="s">
        <v>143</v>
      </c>
      <c r="G38" s="417" t="s">
        <v>132</v>
      </c>
      <c r="H38" s="125"/>
      <c r="I38" s="134">
        <v>1</v>
      </c>
      <c r="J38" s="134">
        <v>1</v>
      </c>
      <c r="K38" s="350">
        <f t="shared" si="3"/>
        <v>1</v>
      </c>
      <c r="L38" s="291">
        <v>97028.35</v>
      </c>
      <c r="M38" s="352"/>
      <c r="N38" s="116"/>
      <c r="O38" s="116"/>
      <c r="P38" s="116"/>
      <c r="Q38" s="351">
        <f t="shared" si="4"/>
        <v>97028.35</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57</v>
      </c>
      <c r="D39" s="395" t="s">
        <v>339</v>
      </c>
      <c r="E39" s="395"/>
      <c r="F39" s="416" t="s">
        <v>143</v>
      </c>
      <c r="G39" s="417" t="s">
        <v>132</v>
      </c>
      <c r="H39" s="125"/>
      <c r="I39" s="134">
        <v>1</v>
      </c>
      <c r="J39" s="134">
        <v>1</v>
      </c>
      <c r="K39" s="350">
        <f t="shared" si="3"/>
        <v>1</v>
      </c>
      <c r="L39" s="291">
        <v>16566.05</v>
      </c>
      <c r="M39" s="352"/>
      <c r="N39" s="116"/>
      <c r="O39" s="116"/>
      <c r="P39" s="116"/>
      <c r="Q39" s="351">
        <f t="shared" si="4"/>
        <v>16566.05</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57</v>
      </c>
      <c r="D40" s="395" t="s">
        <v>340</v>
      </c>
      <c r="E40" s="395"/>
      <c r="F40" s="416" t="s">
        <v>143</v>
      </c>
      <c r="G40" s="107" t="s">
        <v>137</v>
      </c>
      <c r="H40" s="125"/>
      <c r="I40" s="134">
        <v>1</v>
      </c>
      <c r="J40" s="134">
        <v>1</v>
      </c>
      <c r="K40" s="350">
        <f t="shared" si="3"/>
        <v>1</v>
      </c>
      <c r="L40" s="291">
        <v>247771.61</v>
      </c>
      <c r="M40" s="352"/>
      <c r="N40" s="116"/>
      <c r="O40" s="116"/>
      <c r="P40" s="116"/>
      <c r="Q40" s="351">
        <f t="shared" si="4"/>
        <v>247771.61</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57</v>
      </c>
      <c r="D41" s="395" t="s">
        <v>341</v>
      </c>
      <c r="E41" s="395"/>
      <c r="F41" s="416" t="s">
        <v>143</v>
      </c>
      <c r="G41" s="107" t="s">
        <v>137</v>
      </c>
      <c r="H41" s="125"/>
      <c r="I41" s="134">
        <v>1</v>
      </c>
      <c r="J41" s="134">
        <v>1</v>
      </c>
      <c r="K41" s="350">
        <f t="shared" si="3"/>
        <v>1</v>
      </c>
      <c r="L41" s="291">
        <v>133355</v>
      </c>
      <c r="M41" s="352"/>
      <c r="N41" s="116"/>
      <c r="O41" s="116"/>
      <c r="P41" s="116"/>
      <c r="Q41" s="351">
        <f t="shared" si="4"/>
        <v>133355</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57</v>
      </c>
      <c r="D42" s="395" t="s">
        <v>342</v>
      </c>
      <c r="E42" s="395"/>
      <c r="F42" s="416" t="s">
        <v>143</v>
      </c>
      <c r="G42" s="107" t="s">
        <v>137</v>
      </c>
      <c r="H42" s="125"/>
      <c r="I42" s="134">
        <v>1</v>
      </c>
      <c r="J42" s="134">
        <v>0</v>
      </c>
      <c r="K42" s="350">
        <f t="shared" si="3"/>
        <v>0</v>
      </c>
      <c r="L42" s="291">
        <v>48177.33</v>
      </c>
      <c r="M42" s="352"/>
      <c r="N42" s="116"/>
      <c r="O42" s="116"/>
      <c r="P42" s="116"/>
      <c r="Q42" s="351">
        <f t="shared" si="4"/>
        <v>48177.33</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57</v>
      </c>
      <c r="D43" s="395" t="s">
        <v>343</v>
      </c>
      <c r="E43" s="395"/>
      <c r="F43" s="416" t="s">
        <v>143</v>
      </c>
      <c r="G43" s="107" t="s">
        <v>145</v>
      </c>
      <c r="H43" s="125"/>
      <c r="I43" s="134">
        <v>1</v>
      </c>
      <c r="J43" s="134">
        <v>0.2</v>
      </c>
      <c r="K43" s="350">
        <f t="shared" si="3"/>
        <v>0.2</v>
      </c>
      <c r="L43" s="291">
        <v>346935.85</v>
      </c>
      <c r="M43" s="352"/>
      <c r="N43" s="116"/>
      <c r="O43" s="116"/>
      <c r="P43" s="116"/>
      <c r="Q43" s="351">
        <f t="shared" si="4"/>
        <v>346935.85</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57</v>
      </c>
      <c r="D44" s="395" t="s">
        <v>344</v>
      </c>
      <c r="E44" s="395" t="s">
        <v>354</v>
      </c>
      <c r="F44" s="416" t="s">
        <v>143</v>
      </c>
      <c r="G44" s="107" t="s">
        <v>145</v>
      </c>
      <c r="H44" s="125"/>
      <c r="I44" s="134">
        <v>1</v>
      </c>
      <c r="J44" s="134">
        <v>0</v>
      </c>
      <c r="K44" s="350">
        <f t="shared" si="3"/>
        <v>0</v>
      </c>
      <c r="L44" s="291">
        <v>49976.49</v>
      </c>
      <c r="M44" s="352"/>
      <c r="N44" s="116"/>
      <c r="O44" s="116"/>
      <c r="P44" s="116"/>
      <c r="Q44" s="351">
        <f t="shared" si="4"/>
        <v>49976.49</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ht="30.75" x14ac:dyDescent="0.25">
      <c r="B45" s="363">
        <v>10</v>
      </c>
      <c r="C45" s="132">
        <f t="shared" si="2"/>
        <v>57</v>
      </c>
      <c r="D45" s="395" t="s">
        <v>345</v>
      </c>
      <c r="E45" s="395" t="s">
        <v>355</v>
      </c>
      <c r="F45" s="416" t="s">
        <v>143</v>
      </c>
      <c r="G45" s="107" t="s">
        <v>145</v>
      </c>
      <c r="H45" s="125"/>
      <c r="I45" s="134">
        <v>1</v>
      </c>
      <c r="J45" s="134">
        <v>3.0000000000000001E-3</v>
      </c>
      <c r="K45" s="350">
        <f t="shared" si="3"/>
        <v>3.0000000000000001E-3</v>
      </c>
      <c r="L45" s="291">
        <v>123196.4</v>
      </c>
      <c r="M45" s="352"/>
      <c r="N45" s="116"/>
      <c r="O45" s="116"/>
      <c r="P45" s="116">
        <v>9774.4500000000007</v>
      </c>
      <c r="Q45" s="351">
        <f t="shared" si="4"/>
        <v>132970.85</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57</v>
      </c>
      <c r="D46" s="395" t="s">
        <v>346</v>
      </c>
      <c r="E46" s="395"/>
      <c r="F46" s="416" t="s">
        <v>143</v>
      </c>
      <c r="G46" s="107" t="s">
        <v>146</v>
      </c>
      <c r="H46" s="125"/>
      <c r="I46" s="134">
        <v>1</v>
      </c>
      <c r="J46" s="134">
        <v>1</v>
      </c>
      <c r="K46" s="350">
        <f t="shared" si="3"/>
        <v>1</v>
      </c>
      <c r="L46" s="291">
        <v>8237.5</v>
      </c>
      <c r="M46" s="352"/>
      <c r="N46" s="116"/>
      <c r="O46" s="116"/>
      <c r="P46" s="116"/>
      <c r="Q46" s="351">
        <f t="shared" si="4"/>
        <v>8237.5</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57</v>
      </c>
      <c r="D47" s="395" t="s">
        <v>347</v>
      </c>
      <c r="E47" s="395"/>
      <c r="F47" s="416" t="s">
        <v>143</v>
      </c>
      <c r="G47" s="107" t="s">
        <v>146</v>
      </c>
      <c r="H47" s="125"/>
      <c r="I47" s="134">
        <v>1</v>
      </c>
      <c r="J47" s="134">
        <v>0</v>
      </c>
      <c r="K47" s="350">
        <f t="shared" si="3"/>
        <v>0</v>
      </c>
      <c r="L47" s="291">
        <v>239128.76</v>
      </c>
      <c r="M47" s="352"/>
      <c r="N47" s="116"/>
      <c r="O47" s="116"/>
      <c r="P47" s="116"/>
      <c r="Q47" s="351">
        <f t="shared" si="4"/>
        <v>239128.76</v>
      </c>
      <c r="R47" s="409">
        <f t="shared" si="5"/>
        <v>1</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57</v>
      </c>
      <c r="D48" s="395" t="s">
        <v>348</v>
      </c>
      <c r="E48" s="395"/>
      <c r="F48" s="416" t="s">
        <v>143</v>
      </c>
      <c r="G48" s="107" t="s">
        <v>146</v>
      </c>
      <c r="H48" s="125"/>
      <c r="I48" s="134">
        <v>1</v>
      </c>
      <c r="J48" s="134">
        <v>0</v>
      </c>
      <c r="K48" s="350">
        <f t="shared" si="3"/>
        <v>0</v>
      </c>
      <c r="L48" s="291">
        <v>712.3</v>
      </c>
      <c r="M48" s="352"/>
      <c r="N48" s="116"/>
      <c r="O48" s="116"/>
      <c r="P48" s="116"/>
      <c r="Q48" s="351">
        <f t="shared" si="4"/>
        <v>712.3</v>
      </c>
      <c r="R48" s="409">
        <f t="shared" si="5"/>
        <v>1</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orientation="landscape" r:id="rId1"/>
  <headerFooter>
    <oddFooter>&amp;C&amp;"Arial,Regular"&amp;16Page &amp;P of &amp;N</oddFooter>
  </headerFooter>
  <rowBreaks count="2" manualBreakCount="2">
    <brk id="30"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topLeftCell="D1" zoomScale="55" zoomScaleNormal="55" zoomScaleSheetLayoutView="40" workbookViewId="0">
      <selection activeCell="F19" activeCellId="3" sqref="K31 K35 F14:F15 F19"/>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5" t="s">
        <v>1</v>
      </c>
      <c r="C7" s="445"/>
      <c r="D7" s="9" t="str">
        <f>IF(ISBLANK('1. Information'!D8),"",'1. Information'!D8)</f>
        <v>Yolo</v>
      </c>
      <c r="F7" s="94" t="s">
        <v>2</v>
      </c>
      <c r="G7" s="109">
        <f>IF(ISBLANK('1. Information'!D7),"",'1. Information'!D7)</f>
        <v>43479</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5" t="s">
        <v>30</v>
      </c>
      <c r="H12" s="435"/>
      <c r="I12" s="435"/>
      <c r="J12" s="438"/>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3" t="s">
        <v>160</v>
      </c>
      <c r="D14" s="443"/>
      <c r="E14" s="443"/>
      <c r="F14" s="290">
        <v>4465.32</v>
      </c>
      <c r="G14" s="45"/>
      <c r="H14" s="29"/>
      <c r="I14" s="29"/>
      <c r="J14" s="309"/>
      <c r="K14" s="293">
        <f>SUM(F14:J14)</f>
        <v>4465.32</v>
      </c>
      <c r="L14"/>
      <c r="M14"/>
      <c r="N14"/>
      <c r="O14" s="108"/>
      <c r="P14" s="108"/>
    </row>
    <row r="15" spans="2:16" ht="15.75" x14ac:dyDescent="0.25">
      <c r="B15" s="101">
        <v>2</v>
      </c>
      <c r="C15" s="443" t="s">
        <v>161</v>
      </c>
      <c r="D15" s="443"/>
      <c r="E15" s="443"/>
      <c r="F15" s="29">
        <v>9091.4500000000007</v>
      </c>
      <c r="G15" s="411"/>
      <c r="H15" s="412"/>
      <c r="I15" s="412"/>
      <c r="J15" s="413"/>
      <c r="K15" s="293">
        <f>SUM(F15:J15)</f>
        <v>9091.4500000000007</v>
      </c>
      <c r="L15"/>
      <c r="M15"/>
      <c r="N15"/>
      <c r="O15" s="108"/>
      <c r="P15" s="108"/>
    </row>
    <row r="16" spans="2:16" ht="15.75" x14ac:dyDescent="0.25">
      <c r="B16" s="405">
        <v>3</v>
      </c>
      <c r="C16" s="439" t="s">
        <v>314</v>
      </c>
      <c r="D16" s="440"/>
      <c r="E16" s="441"/>
      <c r="F16" s="367"/>
      <c r="G16" s="19"/>
      <c r="H16" s="19"/>
      <c r="I16" s="19"/>
      <c r="J16" s="19"/>
      <c r="K16" s="293">
        <f>SUM(F16:J16)</f>
        <v>0</v>
      </c>
      <c r="L16" s="404"/>
      <c r="M16" s="404"/>
      <c r="N16" s="404"/>
      <c r="O16" s="108"/>
      <c r="P16" s="108"/>
    </row>
    <row r="17" spans="2:17" ht="15.75" x14ac:dyDescent="0.25">
      <c r="B17" s="405">
        <v>4</v>
      </c>
      <c r="C17" s="439" t="s">
        <v>315</v>
      </c>
      <c r="D17" s="440"/>
      <c r="E17" s="441"/>
      <c r="F17" s="410"/>
      <c r="G17" s="19"/>
      <c r="H17" s="19"/>
      <c r="I17" s="19"/>
      <c r="J17" s="19"/>
      <c r="K17" s="293">
        <f>SUM(F17:J17)</f>
        <v>0</v>
      </c>
      <c r="L17" s="404"/>
      <c r="M17" s="404"/>
      <c r="N17" s="404"/>
      <c r="O17" s="108"/>
      <c r="P17" s="108"/>
    </row>
    <row r="18" spans="2:17" ht="15.75" x14ac:dyDescent="0.25">
      <c r="B18" s="101">
        <v>5</v>
      </c>
      <c r="C18" s="443" t="s">
        <v>162</v>
      </c>
      <c r="D18" s="443"/>
      <c r="E18" s="443"/>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3" t="s">
        <v>163</v>
      </c>
      <c r="D19" s="443"/>
      <c r="E19" s="443"/>
      <c r="F19" s="19">
        <f>SUMIF($J$29:$J$132,"Project Evaluation",K$29:K$132)</f>
        <v>416.79</v>
      </c>
      <c r="G19" s="47">
        <f>SUMIF($J$29:$J$132,"Project Evaluation",L$29:L$132)</f>
        <v>0</v>
      </c>
      <c r="H19" s="19">
        <f>SUMIF($J$29:$J$132,"Project Evaluation",M$29:M$132)</f>
        <v>0</v>
      </c>
      <c r="I19" s="19">
        <f>SUMIF($J$29:$J$132,"Project Evaluation",N$29:N$132)</f>
        <v>0</v>
      </c>
      <c r="J19" s="19">
        <f>SUMIF($J$29:$J$132,"Project Evaluation",O$29:O$132)</f>
        <v>0</v>
      </c>
      <c r="K19" s="293">
        <f t="shared" si="0"/>
        <v>416.79</v>
      </c>
      <c r="L19"/>
      <c r="M19"/>
      <c r="N19"/>
      <c r="O19" s="108"/>
      <c r="P19" s="108"/>
    </row>
    <row r="20" spans="2:17" ht="15.75" x14ac:dyDescent="0.25">
      <c r="B20" s="101">
        <v>7</v>
      </c>
      <c r="C20" s="443" t="s">
        <v>236</v>
      </c>
      <c r="D20" s="443"/>
      <c r="E20" s="443"/>
      <c r="F20" s="19">
        <f>SUMIF($J$29:$J$132,"Project Direct",K$29:K$132)</f>
        <v>73574.070000000007</v>
      </c>
      <c r="G20" s="47">
        <f>SUMIF($J$29:$J$132,"Project Direct",L$29:L$132)</f>
        <v>15905.61</v>
      </c>
      <c r="H20" s="19">
        <f>SUMIF($J$29:$J$132,"Project Direct",M$29:M$132)</f>
        <v>0</v>
      </c>
      <c r="I20" s="19">
        <f>SUMIF($J$29:$J$132,"Project Direct",N$29:N$132)</f>
        <v>0</v>
      </c>
      <c r="J20" s="19">
        <f>SUMIF($J$29:$J$132,"Project Direct",O$29:O$132)</f>
        <v>0</v>
      </c>
      <c r="K20" s="293">
        <f t="shared" si="0"/>
        <v>89479.680000000008</v>
      </c>
      <c r="L20"/>
      <c r="M20"/>
      <c r="N20"/>
      <c r="O20" s="108"/>
      <c r="P20" s="108"/>
    </row>
    <row r="21" spans="2:17" ht="15.75" x14ac:dyDescent="0.25">
      <c r="B21" s="101">
        <v>8</v>
      </c>
      <c r="C21" s="458" t="s">
        <v>164</v>
      </c>
      <c r="D21" s="458"/>
      <c r="E21" s="458"/>
      <c r="F21" s="18">
        <f>SUM(F18:F20)</f>
        <v>73990.86</v>
      </c>
      <c r="G21" s="48">
        <f>SUM(G18:G20)</f>
        <v>15905.61</v>
      </c>
      <c r="H21" s="18">
        <f>SUM(H18:H20)</f>
        <v>0</v>
      </c>
      <c r="I21" s="18">
        <f>SUM(I18:I20)</f>
        <v>0</v>
      </c>
      <c r="J21" s="18">
        <f t="shared" ref="J21" si="1">SUM(J18:J20)</f>
        <v>0</v>
      </c>
      <c r="K21" s="18">
        <f t="shared" ref="K21" si="2">SUM(K18:K20)</f>
        <v>89896.47</v>
      </c>
      <c r="L21"/>
      <c r="M21"/>
      <c r="N21"/>
      <c r="O21" s="108"/>
      <c r="P21" s="108"/>
    </row>
    <row r="22" spans="2:17" ht="30.95" customHeight="1" x14ac:dyDescent="0.25">
      <c r="B22" s="101">
        <v>9</v>
      </c>
      <c r="C22" s="455" t="s">
        <v>316</v>
      </c>
      <c r="D22" s="455"/>
      <c r="E22" s="455"/>
      <c r="F22" s="20">
        <f t="shared" ref="F22:K22" si="3">SUM(F14:F15,F17,F18:F20)</f>
        <v>87547.63</v>
      </c>
      <c r="G22" s="20">
        <f t="shared" si="3"/>
        <v>15905.61</v>
      </c>
      <c r="H22" s="20">
        <f t="shared" si="3"/>
        <v>0</v>
      </c>
      <c r="I22" s="20">
        <f t="shared" si="3"/>
        <v>0</v>
      </c>
      <c r="J22" s="20">
        <f t="shared" si="3"/>
        <v>0</v>
      </c>
      <c r="K22" s="20">
        <f t="shared" si="3"/>
        <v>103453.24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57</v>
      </c>
      <c r="D29" s="395" t="s">
        <v>349</v>
      </c>
      <c r="E29" s="138"/>
      <c r="F29" s="138">
        <v>42943</v>
      </c>
      <c r="G29" s="138">
        <v>42979</v>
      </c>
      <c r="H29" s="116">
        <v>89125</v>
      </c>
      <c r="I29" s="116"/>
      <c r="J29" s="118" t="s">
        <v>158</v>
      </c>
      <c r="K29" s="120"/>
      <c r="L29" s="120"/>
      <c r="M29" s="116"/>
      <c r="N29" s="116"/>
      <c r="O29" s="129"/>
      <c r="P29" s="293">
        <f t="shared" ref="P29:P64" si="4">SUM(K29:O29)</f>
        <v>0</v>
      </c>
    </row>
    <row r="30" spans="2:17" x14ac:dyDescent="0.2">
      <c r="B30" s="123">
        <v>1</v>
      </c>
      <c r="C30" s="139">
        <f t="shared" ref="C30:I31" si="5">IF(ISBLANK(C29),"",C29)</f>
        <v>57</v>
      </c>
      <c r="D30" s="397" t="str">
        <f t="shared" si="5"/>
        <v>Board and Care Study Project</v>
      </c>
      <c r="E30" s="140" t="str">
        <f t="shared" si="5"/>
        <v/>
      </c>
      <c r="F30" s="140">
        <f t="shared" si="5"/>
        <v>42943</v>
      </c>
      <c r="G30" s="140">
        <f t="shared" si="5"/>
        <v>42979</v>
      </c>
      <c r="H30" s="122">
        <f t="shared" si="5"/>
        <v>89125</v>
      </c>
      <c r="I30" s="122" t="str">
        <f t="shared" si="5"/>
        <v/>
      </c>
      <c r="J30" s="119" t="s">
        <v>159</v>
      </c>
      <c r="K30" s="120"/>
      <c r="L30" s="120"/>
      <c r="M30" s="116"/>
      <c r="N30" s="116"/>
      <c r="O30" s="129"/>
      <c r="P30" s="293">
        <f t="shared" si="4"/>
        <v>0</v>
      </c>
    </row>
    <row r="31" spans="2:17" x14ac:dyDescent="0.2">
      <c r="B31" s="123">
        <v>1</v>
      </c>
      <c r="C31" s="139">
        <f t="shared" ref="C31:H31" si="6">IF(ISBLANK(C29),"",C29)</f>
        <v>57</v>
      </c>
      <c r="D31" s="398" t="str">
        <f t="shared" si="6"/>
        <v>Board and Care Study Project</v>
      </c>
      <c r="E31" s="141" t="str">
        <f t="shared" si="6"/>
        <v/>
      </c>
      <c r="F31" s="141">
        <f t="shared" si="6"/>
        <v>42943</v>
      </c>
      <c r="G31" s="141">
        <f t="shared" si="6"/>
        <v>42979</v>
      </c>
      <c r="H31" s="119">
        <f t="shared" si="6"/>
        <v>89125</v>
      </c>
      <c r="I31" s="119" t="str">
        <f t="shared" si="5"/>
        <v/>
      </c>
      <c r="J31" s="119" t="s">
        <v>237</v>
      </c>
      <c r="K31" s="120">
        <v>17231.02</v>
      </c>
      <c r="L31" s="120"/>
      <c r="M31" s="116"/>
      <c r="N31" s="116"/>
      <c r="O31" s="129"/>
      <c r="P31" s="293">
        <f t="shared" si="4"/>
        <v>17231.02</v>
      </c>
    </row>
    <row r="32" spans="2:17" ht="15.75" x14ac:dyDescent="0.25">
      <c r="B32" s="96">
        <v>1</v>
      </c>
      <c r="C32" s="22">
        <f t="shared" ref="C32:I32" si="7">IF(ISBLANK(C29),"",C29)</f>
        <v>57</v>
      </c>
      <c r="D32" s="399" t="str">
        <f t="shared" si="7"/>
        <v>Board and Care Study Project</v>
      </c>
      <c r="E32" s="33" t="str">
        <f t="shared" si="7"/>
        <v/>
      </c>
      <c r="F32" s="33">
        <f t="shared" si="7"/>
        <v>42943</v>
      </c>
      <c r="G32" s="33">
        <f t="shared" si="7"/>
        <v>42979</v>
      </c>
      <c r="H32" s="34">
        <f t="shared" si="7"/>
        <v>89125</v>
      </c>
      <c r="I32" s="34" t="str">
        <f t="shared" si="7"/>
        <v/>
      </c>
      <c r="J32" s="8" t="s">
        <v>263</v>
      </c>
      <c r="K32" s="50">
        <f>SUM(K29:K31)</f>
        <v>17231.02</v>
      </c>
      <c r="L32" s="50">
        <f>SUM(L29:L31)</f>
        <v>0</v>
      </c>
      <c r="M32" s="35">
        <f t="shared" ref="M32:O32" si="8">SUM(M29:M31)</f>
        <v>0</v>
      </c>
      <c r="N32" s="35">
        <f t="shared" si="8"/>
        <v>0</v>
      </c>
      <c r="O32" s="311">
        <f t="shared" si="8"/>
        <v>0</v>
      </c>
      <c r="P32" s="8">
        <f t="shared" si="4"/>
        <v>17231.02</v>
      </c>
    </row>
    <row r="33" spans="2:16" x14ac:dyDescent="0.2">
      <c r="B33" s="123">
        <v>2</v>
      </c>
      <c r="C33" s="137">
        <f>IF(P36&lt;&gt;0,VLOOKUP($D$7,Info_County_Code,2,FALSE),"")</f>
        <v>57</v>
      </c>
      <c r="D33" s="395" t="s">
        <v>350</v>
      </c>
      <c r="E33" s="138"/>
      <c r="F33" s="138">
        <v>42943</v>
      </c>
      <c r="G33" s="138">
        <v>43145</v>
      </c>
      <c r="H33" s="116">
        <v>575000</v>
      </c>
      <c r="I33" s="116"/>
      <c r="J33" s="118" t="str">
        <f>IF(NOT(ISBLANK(D33)),$J$29,"")</f>
        <v>Project Administration</v>
      </c>
      <c r="K33" s="120"/>
      <c r="L33" s="120"/>
      <c r="M33" s="116"/>
      <c r="N33" s="116"/>
      <c r="O33" s="129"/>
      <c r="P33" s="293">
        <f t="shared" ref="P33:P36" si="9">SUM(K33:O33)</f>
        <v>0</v>
      </c>
    </row>
    <row r="34" spans="2:16" x14ac:dyDescent="0.2">
      <c r="B34" s="123">
        <v>2</v>
      </c>
      <c r="C34" s="139">
        <f t="shared" ref="C34:I34" si="10">IF(ISBLANK(C33),"",C33)</f>
        <v>57</v>
      </c>
      <c r="D34" s="397" t="str">
        <f t="shared" si="10"/>
        <v>First Responders' Initiative</v>
      </c>
      <c r="E34" s="140" t="str">
        <f t="shared" si="10"/>
        <v/>
      </c>
      <c r="F34" s="140">
        <f t="shared" si="10"/>
        <v>42943</v>
      </c>
      <c r="G34" s="140">
        <f t="shared" si="10"/>
        <v>43145</v>
      </c>
      <c r="H34" s="122">
        <f t="shared" si="10"/>
        <v>575000</v>
      </c>
      <c r="I34" s="122" t="str">
        <f t="shared" si="10"/>
        <v/>
      </c>
      <c r="J34" s="119" t="str">
        <f>IF(NOT(ISBLANK(D33)),$J$30,"")</f>
        <v>Project Evaluation</v>
      </c>
      <c r="K34" s="120">
        <v>416.79</v>
      </c>
      <c r="L34" s="120"/>
      <c r="M34" s="116"/>
      <c r="N34" s="116"/>
      <c r="O34" s="129"/>
      <c r="P34" s="293">
        <f t="shared" si="9"/>
        <v>416.79</v>
      </c>
    </row>
    <row r="35" spans="2:16" x14ac:dyDescent="0.2">
      <c r="B35" s="123">
        <v>2</v>
      </c>
      <c r="C35" s="139">
        <f t="shared" ref="C35:I35" si="11">IF(ISBLANK(C33),"",C33)</f>
        <v>57</v>
      </c>
      <c r="D35" s="398" t="str">
        <f t="shared" si="11"/>
        <v>First Responders' Initiative</v>
      </c>
      <c r="E35" s="141" t="str">
        <f t="shared" si="11"/>
        <v/>
      </c>
      <c r="F35" s="141">
        <f t="shared" si="11"/>
        <v>42943</v>
      </c>
      <c r="G35" s="141">
        <f t="shared" si="11"/>
        <v>43145</v>
      </c>
      <c r="H35" s="119">
        <f t="shared" si="11"/>
        <v>575000</v>
      </c>
      <c r="I35" s="119" t="str">
        <f t="shared" si="11"/>
        <v/>
      </c>
      <c r="J35" s="119" t="str">
        <f>IF(NOT(ISBLANK(D33)),$J$31,"")</f>
        <v>Project Direct</v>
      </c>
      <c r="K35" s="120">
        <v>56343.05</v>
      </c>
      <c r="L35" s="120">
        <v>15905.61</v>
      </c>
      <c r="M35" s="116"/>
      <c r="N35" s="116"/>
      <c r="O35" s="129"/>
      <c r="P35" s="293">
        <f t="shared" si="9"/>
        <v>72248.66</v>
      </c>
    </row>
    <row r="36" spans="2:16" ht="15.75" x14ac:dyDescent="0.25">
      <c r="B36" s="362">
        <v>2</v>
      </c>
      <c r="C36" s="22">
        <f t="shared" ref="C36:I36" si="12">IF(ISBLANK(C33),"",C33)</f>
        <v>57</v>
      </c>
      <c r="D36" s="399" t="str">
        <f t="shared" si="12"/>
        <v>First Responders' Initiative</v>
      </c>
      <c r="E36" s="33" t="str">
        <f t="shared" si="12"/>
        <v/>
      </c>
      <c r="F36" s="33">
        <f t="shared" si="12"/>
        <v>42943</v>
      </c>
      <c r="G36" s="33">
        <f t="shared" si="12"/>
        <v>43145</v>
      </c>
      <c r="H36" s="34">
        <f t="shared" si="12"/>
        <v>575000</v>
      </c>
      <c r="I36" s="34" t="str">
        <f t="shared" si="12"/>
        <v/>
      </c>
      <c r="J36" s="8" t="str">
        <f>IF(NOT(ISBLANK(D33)),$J$32,"")</f>
        <v>Project Subtotal</v>
      </c>
      <c r="K36" s="50">
        <f t="shared" ref="K36" si="13">SUM(K33:K35)</f>
        <v>56759.840000000004</v>
      </c>
      <c r="L36" s="50">
        <f>SUM(L33:L35)</f>
        <v>15905.61</v>
      </c>
      <c r="M36" s="35">
        <f t="shared" ref="M36:O36" si="14">SUM(M33:M35)</f>
        <v>0</v>
      </c>
      <c r="N36" s="35">
        <f t="shared" si="14"/>
        <v>0</v>
      </c>
      <c r="O36" s="311">
        <f t="shared" si="14"/>
        <v>0</v>
      </c>
      <c r="P36" s="8">
        <f t="shared" si="9"/>
        <v>72665.450000000012</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8"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topLeftCell="A10" zoomScale="70" zoomScaleNormal="70" zoomScaleSheetLayoutView="55" workbookViewId="0">
      <selection activeCell="E29" sqref="E29"/>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Yolo</v>
      </c>
      <c r="F7" s="94" t="s">
        <v>2</v>
      </c>
      <c r="G7" s="38">
        <f>IF(ISBLANK('1. Information'!D7),"",'1. Information'!D7)</f>
        <v>43479</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3" t="s">
        <v>16</v>
      </c>
      <c r="D14" s="443"/>
      <c r="E14" s="439"/>
      <c r="F14" s="290"/>
      <c r="G14" s="142"/>
      <c r="H14" s="142"/>
      <c r="I14" s="142"/>
      <c r="J14" s="142"/>
      <c r="K14" s="292">
        <f>SUM(F14:J14)</f>
        <v>0</v>
      </c>
      <c r="L14"/>
      <c r="M14"/>
      <c r="N14" s="108"/>
      <c r="O14" s="108"/>
    </row>
    <row r="15" spans="1:22" ht="15.75" x14ac:dyDescent="0.25">
      <c r="A15" s="108"/>
      <c r="B15" s="101">
        <v>2</v>
      </c>
      <c r="C15" s="443" t="s">
        <v>17</v>
      </c>
      <c r="D15" s="443"/>
      <c r="E15" s="439"/>
      <c r="F15" s="290">
        <v>1970.52</v>
      </c>
      <c r="G15" s="142"/>
      <c r="H15" s="142"/>
      <c r="I15" s="142"/>
      <c r="J15" s="142"/>
      <c r="K15" s="292">
        <f t="shared" ref="K15:K19" si="0">SUM(F15:J15)</f>
        <v>1970.52</v>
      </c>
      <c r="L15"/>
      <c r="M15"/>
      <c r="N15" s="108"/>
      <c r="O15" s="108"/>
    </row>
    <row r="16" spans="1:22" ht="15.75" x14ac:dyDescent="0.25">
      <c r="A16" s="108"/>
      <c r="B16" s="101">
        <v>3</v>
      </c>
      <c r="C16" s="443" t="s">
        <v>238</v>
      </c>
      <c r="D16" s="443"/>
      <c r="E16" s="439"/>
      <c r="F16" s="290">
        <v>42148.39</v>
      </c>
      <c r="G16" s="355"/>
      <c r="H16" s="355"/>
      <c r="I16" s="355"/>
      <c r="J16" s="355"/>
      <c r="K16" s="292">
        <f t="shared" si="0"/>
        <v>42148.39</v>
      </c>
      <c r="L16"/>
      <c r="M16"/>
      <c r="N16" s="108"/>
      <c r="O16" s="108"/>
    </row>
    <row r="17" spans="1:22" ht="15.75" x14ac:dyDescent="0.25">
      <c r="A17" s="108"/>
      <c r="B17" s="101">
        <v>4</v>
      </c>
      <c r="C17" s="443" t="s">
        <v>221</v>
      </c>
      <c r="D17" s="443"/>
      <c r="E17" s="439"/>
      <c r="F17" s="367"/>
      <c r="G17" s="119"/>
      <c r="H17" s="119"/>
      <c r="I17" s="119"/>
      <c r="J17" s="119"/>
      <c r="K17" s="292">
        <f t="shared" si="0"/>
        <v>0</v>
      </c>
      <c r="L17"/>
      <c r="M17"/>
      <c r="N17" s="108"/>
      <c r="O17" s="108"/>
    </row>
    <row r="18" spans="1:22" ht="15.75" x14ac:dyDescent="0.25">
      <c r="A18" s="108"/>
      <c r="B18" s="101">
        <v>5</v>
      </c>
      <c r="C18" s="443" t="s">
        <v>222</v>
      </c>
      <c r="D18" s="443"/>
      <c r="E18" s="439"/>
      <c r="F18" s="367"/>
      <c r="G18" s="119"/>
      <c r="H18" s="119"/>
      <c r="I18" s="119"/>
      <c r="J18" s="119"/>
      <c r="K18" s="292">
        <f t="shared" si="0"/>
        <v>0</v>
      </c>
      <c r="L18"/>
      <c r="M18"/>
      <c r="N18" s="108"/>
      <c r="O18" s="108"/>
    </row>
    <row r="19" spans="1:22" ht="15.75" x14ac:dyDescent="0.25">
      <c r="A19" s="108"/>
      <c r="B19" s="101">
        <v>6</v>
      </c>
      <c r="C19" s="439" t="s">
        <v>174</v>
      </c>
      <c r="D19" s="440"/>
      <c r="E19" s="441"/>
      <c r="F19" s="122">
        <f>SUM(E28:E32)</f>
        <v>427649.55</v>
      </c>
      <c r="G19" s="121">
        <f t="shared" ref="G19:I19" si="1">SUM(F28:F32)</f>
        <v>0</v>
      </c>
      <c r="H19" s="122">
        <f t="shared" si="1"/>
        <v>0</v>
      </c>
      <c r="I19" s="122">
        <f t="shared" si="1"/>
        <v>0</v>
      </c>
      <c r="J19" s="122">
        <f>SUM(I28:I32)</f>
        <v>0</v>
      </c>
      <c r="K19" s="293">
        <f t="shared" si="0"/>
        <v>427649.55</v>
      </c>
      <c r="L19"/>
      <c r="M19"/>
      <c r="N19" s="108"/>
      <c r="O19" s="108"/>
    </row>
    <row r="20" spans="1:22" ht="30.95" customHeight="1" x14ac:dyDescent="0.25">
      <c r="A20" s="108"/>
      <c r="B20" s="101">
        <v>7</v>
      </c>
      <c r="C20" s="455" t="s">
        <v>220</v>
      </c>
      <c r="D20" s="455"/>
      <c r="E20" s="455"/>
      <c r="F20" s="8">
        <f>SUM(F14:F16,F18:F19)</f>
        <v>471768.45999999996</v>
      </c>
      <c r="G20" s="43">
        <f t="shared" ref="G20:J20" si="2">SUM(G14:G16,G18:G19)</f>
        <v>0</v>
      </c>
      <c r="H20" s="7">
        <f t="shared" si="2"/>
        <v>0</v>
      </c>
      <c r="I20" s="7">
        <f t="shared" si="2"/>
        <v>0</v>
      </c>
      <c r="J20" s="7">
        <f t="shared" si="2"/>
        <v>0</v>
      </c>
      <c r="K20" s="8">
        <f>SUM(K14:K16,K18:K19)</f>
        <v>471768.45999999996</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57</v>
      </c>
      <c r="D28" s="145" t="s">
        <v>105</v>
      </c>
      <c r="E28" s="117">
        <v>87788.76</v>
      </c>
      <c r="F28" s="120"/>
      <c r="G28" s="117"/>
      <c r="H28" s="117"/>
      <c r="I28" s="312"/>
      <c r="J28" s="119">
        <f>SUM(E28:I28)</f>
        <v>87788.76</v>
      </c>
      <c r="K28"/>
      <c r="L28"/>
      <c r="M28"/>
      <c r="N28"/>
      <c r="O28"/>
      <c r="P28"/>
      <c r="Q28"/>
      <c r="R28"/>
    </row>
    <row r="29" spans="1:22" ht="15.75" x14ac:dyDescent="0.25">
      <c r="A29" s="108"/>
      <c r="B29" s="101">
        <v>2</v>
      </c>
      <c r="C29" s="132">
        <f>IF(J29&lt;&gt;0,VLOOKUP($D$7,Info_County_Code,2,FALSE),"")</f>
        <v>57</v>
      </c>
      <c r="D29" s="145" t="s">
        <v>106</v>
      </c>
      <c r="E29" s="116">
        <v>339860.79</v>
      </c>
      <c r="F29" s="120"/>
      <c r="G29" s="116"/>
      <c r="H29" s="116"/>
      <c r="I29" s="313"/>
      <c r="J29" s="119">
        <f t="shared" ref="J29:J32" si="3">SUM(E29:I29)</f>
        <v>339860.79</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4"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topLeftCell="A10" zoomScale="70" zoomScaleNormal="70" zoomScaleSheetLayoutView="40" workbookViewId="0">
      <selection activeCell="F19" sqref="F1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Yolo</v>
      </c>
      <c r="E7" s="16"/>
      <c r="F7" s="95" t="s">
        <v>2</v>
      </c>
      <c r="G7" s="109">
        <f>IF(ISBLANK('1. Information'!D7),"",'1. Information'!D7)</f>
        <v>43479</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5" t="s">
        <v>213</v>
      </c>
      <c r="H12" s="445"/>
      <c r="I12" s="445"/>
      <c r="J12" s="445"/>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3" t="s">
        <v>189</v>
      </c>
      <c r="D14" s="443"/>
      <c r="E14" s="439"/>
      <c r="F14" s="142"/>
      <c r="G14" s="142"/>
      <c r="H14" s="142"/>
      <c r="I14" s="142"/>
      <c r="J14" s="142"/>
      <c r="K14" s="118">
        <f>SUM(F14:J14)</f>
        <v>0</v>
      </c>
      <c r="L14"/>
      <c r="M14"/>
      <c r="U14" s="108"/>
      <c r="V14" s="108"/>
      <c r="W14" s="108"/>
    </row>
    <row r="15" spans="2:23" x14ac:dyDescent="0.25">
      <c r="B15" s="101">
        <v>2</v>
      </c>
      <c r="C15" s="443" t="s">
        <v>188</v>
      </c>
      <c r="D15" s="443"/>
      <c r="E15" s="439"/>
      <c r="F15" s="142"/>
      <c r="G15" s="142"/>
      <c r="H15" s="142"/>
      <c r="I15" s="142"/>
      <c r="J15" s="142"/>
      <c r="K15" s="118">
        <f t="shared" ref="K15:K20" si="0">SUM(F15:J15)</f>
        <v>0</v>
      </c>
      <c r="L15"/>
      <c r="M15"/>
      <c r="U15" s="108"/>
      <c r="V15" s="108"/>
      <c r="W15" s="108"/>
    </row>
    <row r="16" spans="2:23" x14ac:dyDescent="0.25">
      <c r="B16" s="101">
        <v>3</v>
      </c>
      <c r="C16" s="443" t="s">
        <v>123</v>
      </c>
      <c r="D16" s="443"/>
      <c r="E16" s="439"/>
      <c r="F16" s="142"/>
      <c r="G16" s="142"/>
      <c r="H16" s="142"/>
      <c r="I16" s="142"/>
      <c r="J16" s="142"/>
      <c r="K16" s="118">
        <f t="shared" si="0"/>
        <v>0</v>
      </c>
      <c r="L16"/>
      <c r="M16"/>
      <c r="U16" s="108"/>
      <c r="V16" s="108"/>
      <c r="W16" s="108"/>
    </row>
    <row r="17" spans="2:23" x14ac:dyDescent="0.25">
      <c r="B17" s="101">
        <v>4</v>
      </c>
      <c r="C17" s="443" t="s">
        <v>122</v>
      </c>
      <c r="D17" s="443"/>
      <c r="E17" s="439"/>
      <c r="F17" s="142"/>
      <c r="G17" s="142"/>
      <c r="H17" s="142"/>
      <c r="I17" s="142"/>
      <c r="J17" s="142"/>
      <c r="K17" s="118">
        <f t="shared" si="0"/>
        <v>0</v>
      </c>
      <c r="L17"/>
      <c r="M17"/>
      <c r="U17" s="108"/>
      <c r="V17" s="108"/>
      <c r="W17" s="108"/>
    </row>
    <row r="18" spans="2:23" x14ac:dyDescent="0.25">
      <c r="B18" s="101">
        <v>5</v>
      </c>
      <c r="C18" s="443" t="s">
        <v>239</v>
      </c>
      <c r="D18" s="443"/>
      <c r="E18" s="439"/>
      <c r="F18" s="142"/>
      <c r="G18" s="142"/>
      <c r="H18" s="142"/>
      <c r="I18" s="142"/>
      <c r="J18" s="142"/>
      <c r="K18" s="118">
        <f t="shared" si="0"/>
        <v>0</v>
      </c>
      <c r="L18"/>
      <c r="M18"/>
      <c r="U18" s="108"/>
      <c r="V18" s="108"/>
      <c r="W18" s="108"/>
    </row>
    <row r="19" spans="2:23" x14ac:dyDescent="0.25">
      <c r="B19" s="101">
        <v>6</v>
      </c>
      <c r="C19" s="443" t="s">
        <v>240</v>
      </c>
      <c r="D19" s="443"/>
      <c r="E19" s="439"/>
      <c r="F19" s="142"/>
      <c r="G19" s="142"/>
      <c r="H19" s="142"/>
      <c r="I19" s="142"/>
      <c r="J19" s="355"/>
      <c r="K19" s="118">
        <f t="shared" si="0"/>
        <v>0</v>
      </c>
      <c r="L19"/>
      <c r="M19"/>
      <c r="U19" s="108"/>
      <c r="V19" s="108"/>
      <c r="W19" s="108"/>
    </row>
    <row r="20" spans="2:23" x14ac:dyDescent="0.25">
      <c r="B20" s="101">
        <v>7</v>
      </c>
      <c r="C20" s="443" t="s">
        <v>175</v>
      </c>
      <c r="D20" s="443"/>
      <c r="E20" s="443"/>
      <c r="F20" s="121">
        <f>SUM(G28:G47)</f>
        <v>290469.82</v>
      </c>
      <c r="G20" s="121">
        <f>SUM(H28:H47)</f>
        <v>0</v>
      </c>
      <c r="H20" s="122">
        <f t="shared" ref="H20" si="1">SUM(I28:I47)</f>
        <v>0</v>
      </c>
      <c r="I20" s="122">
        <f>SUM(J28:J47)</f>
        <v>0</v>
      </c>
      <c r="J20" s="119">
        <f>SUM(K28:K47)</f>
        <v>0</v>
      </c>
      <c r="K20" s="118">
        <f t="shared" si="0"/>
        <v>290469.82</v>
      </c>
      <c r="L20"/>
      <c r="M20"/>
      <c r="U20" s="108"/>
      <c r="V20" s="108"/>
      <c r="W20" s="108"/>
    </row>
    <row r="21" spans="2:23" ht="30.95" customHeight="1" x14ac:dyDescent="0.25">
      <c r="B21" s="101">
        <v>8</v>
      </c>
      <c r="C21" s="464" t="s">
        <v>20</v>
      </c>
      <c r="D21" s="464"/>
      <c r="E21" s="464"/>
      <c r="F21" s="43">
        <f>SUM(F14:F20)</f>
        <v>290469.82</v>
      </c>
      <c r="G21" s="43">
        <f>SUM(G14:G20)</f>
        <v>0</v>
      </c>
      <c r="H21" s="7">
        <f t="shared" ref="H21:J21" si="2">SUM(H14:H20)</f>
        <v>0</v>
      </c>
      <c r="I21" s="7">
        <f t="shared" si="2"/>
        <v>0</v>
      </c>
      <c r="J21" s="299">
        <f t="shared" si="2"/>
        <v>0</v>
      </c>
      <c r="K21" s="7">
        <f t="shared" ref="K21" si="3">SUM(K14:K20)</f>
        <v>290469.82</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57</v>
      </c>
      <c r="D28" s="364" t="s">
        <v>351</v>
      </c>
      <c r="E28" s="151"/>
      <c r="F28" s="125" t="s">
        <v>176</v>
      </c>
      <c r="G28" s="117">
        <v>223722.18</v>
      </c>
      <c r="H28" s="126"/>
      <c r="I28" s="126"/>
      <c r="J28" s="117"/>
      <c r="K28" s="312"/>
      <c r="L28" s="316">
        <f>SUM(G28:K28)</f>
        <v>223722.18</v>
      </c>
      <c r="M28"/>
      <c r="U28" s="108"/>
      <c r="V28" s="108"/>
      <c r="W28" s="108"/>
    </row>
    <row r="29" spans="2:23" ht="30.75" x14ac:dyDescent="0.25">
      <c r="B29" s="101">
        <v>2</v>
      </c>
      <c r="C29" s="132">
        <f t="shared" si="4"/>
        <v>57</v>
      </c>
      <c r="D29" s="395" t="s">
        <v>352</v>
      </c>
      <c r="E29" s="396"/>
      <c r="F29" s="125" t="s">
        <v>176</v>
      </c>
      <c r="G29" s="117">
        <v>6279.18</v>
      </c>
      <c r="H29" s="126"/>
      <c r="I29" s="120"/>
      <c r="J29" s="116"/>
      <c r="K29" s="313"/>
      <c r="L29" s="316">
        <f t="shared" ref="L29:L47" si="5">SUM(G29:K29)</f>
        <v>6279.18</v>
      </c>
      <c r="M29"/>
      <c r="U29" s="108"/>
      <c r="V29" s="108"/>
      <c r="W29" s="108"/>
    </row>
    <row r="30" spans="2:23" x14ac:dyDescent="0.25">
      <c r="B30" s="101">
        <v>3</v>
      </c>
      <c r="C30" s="132">
        <f t="shared" si="4"/>
        <v>57</v>
      </c>
      <c r="D30" s="395" t="s">
        <v>353</v>
      </c>
      <c r="E30" s="396"/>
      <c r="F30" s="125" t="s">
        <v>177</v>
      </c>
      <c r="G30" s="117">
        <v>60468.46</v>
      </c>
      <c r="H30" s="126"/>
      <c r="I30" s="120"/>
      <c r="J30" s="116"/>
      <c r="K30" s="313"/>
      <c r="L30" s="316">
        <f t="shared" si="5"/>
        <v>60468.46</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49"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2019-01-25T21:05:26Z</cp:lastPrinted>
  <dcterms:created xsi:type="dcterms:W3CDTF">2017-07-05T19:48:18Z</dcterms:created>
  <dcterms:modified xsi:type="dcterms:W3CDTF">2019-05-21T21:30:48Z</dcterms:modified>
</cp:coreProperties>
</file>